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X" sheetId="1" r:id="rId1"/>
  </sheets>
  <definedNames/>
  <calcPr fullCalcOnLoad="1"/>
</workbook>
</file>

<file path=xl/sharedStrings.xml><?xml version="1.0" encoding="utf-8"?>
<sst xmlns="http://schemas.openxmlformats.org/spreadsheetml/2006/main" count="409" uniqueCount="227">
  <si>
    <t>Cifras en miles de $</t>
  </si>
  <si>
    <t>Código BIP</t>
  </si>
  <si>
    <t>Nombre de Proyecto</t>
  </si>
  <si>
    <t>Monto Identificado</t>
  </si>
  <si>
    <t>Etapa *</t>
  </si>
  <si>
    <t>Plazo de Ejecución **</t>
  </si>
  <si>
    <t>CONSTRUCCION MITIGACION RIESGOS VOLCANICO Y GEOLOGICOS, PUCON</t>
  </si>
  <si>
    <t>APROBADO CORE</t>
  </si>
  <si>
    <t>MEJORAMIENTO PROVISON SERVICIOS RADIOTERAPIA REGION DE LA ARAUCANIA</t>
  </si>
  <si>
    <t>EN LICITACION</t>
  </si>
  <si>
    <t>INVESTIGACION ARQUEOLOGICA SITIO HISTORICO-VILLARRICA</t>
  </si>
  <si>
    <t>REPOSICION POSTA SALUD RURAL MUCO CHUREO, LAUTARO</t>
  </si>
  <si>
    <t>REPOSICION POSTA SALUD RURAL AMARGO, COLLIPULLI</t>
  </si>
  <si>
    <t>EN EJECUCION</t>
  </si>
  <si>
    <t>22-12-009</t>
  </si>
  <si>
    <t>REPOSICION POSTA SALUD RURAL MILLAHUIN, PITRUFQUEN</t>
  </si>
  <si>
    <t>REPOSICION COMISARIA JUDICIAL POLICIA DE INVESTIGACIONES, VICTORIA</t>
  </si>
  <si>
    <t>REPOSICION ESCUELA F-277 EL NARANJO, LONQUIMAY</t>
  </si>
  <si>
    <t>CONSTRUCCION GIMNASIO ESCUELA F-53, PUREN</t>
  </si>
  <si>
    <t xml:space="preserve">INSTALACION SISTEMA APR RENICURA, GALVARINO </t>
  </si>
  <si>
    <t>MEJORAMIENTO AVENIDA GUIDO BECK DE RAMBERGA, PADRE LAS CASAS</t>
  </si>
  <si>
    <t>INSTALACION SISTEMA AGUA POTABLE RURAL CARILEUFU, PUCON</t>
  </si>
  <si>
    <t>INSTALACION SISTEMA AGUA POTABLE RURAL ALTO BOROA, IMPERIAL</t>
  </si>
  <si>
    <t>INSTALACION AGUA POTABLE HUEDAQUINTUE, LLIHUIN E EGÜIN, CARAHUE</t>
  </si>
  <si>
    <t>REPOSICCION POSTA DE SALUD RURAL MOLCO, TRAIGUEN</t>
  </si>
  <si>
    <t>REPOSICION INTERNADO LICEO C-39 ARAUCANIA, VILLARRICA</t>
  </si>
  <si>
    <t>AMPLIACION LICEO JUAN SCHLEYER C-31, FREIRE</t>
  </si>
  <si>
    <t xml:space="preserve">INSTALACION SISTEMA AGUA POTABLE RURAL QUINTRILPE, VILCUN </t>
  </si>
  <si>
    <t>INSTALACION SISTEMA AGUA POTABLE RURAL PRADO PUELLO, PADRE LAS CASAS</t>
  </si>
  <si>
    <t>REPOSICION ESCUELA ARTISTICA MUNICIPAL A. DUFEY B., TEMUCO</t>
  </si>
  <si>
    <t>CONSTRUCCION INTERNADO LICEO B-11 MANUEL MONTT, VICTORIA</t>
  </si>
  <si>
    <t>REPOSICION JARDIN INFANTIL PINOCHO DE CURACAUTIN, CURACAUTIN</t>
  </si>
  <si>
    <t>INSTALACION SISTEMA AGUA POTABLE REDUCCION CONTRERAS, TRAIGUEN</t>
  </si>
  <si>
    <t>INSTALACION SISTEMA AGUA POTABLE RURAL CHIVILCOYAN, IMPERIAL</t>
  </si>
  <si>
    <t xml:space="preserve">INSTALACION SISTEMA AGUA POTABLE RURAL CHALLUPEN BAJO, VILLARRICA </t>
  </si>
  <si>
    <t>INSTALACION SISTEMA AGUA POTABLE RURALBLANCO LEPIN, LAUTARO</t>
  </si>
  <si>
    <t>REPOSICION INTERNADO MASCULINO COLLIPULLI</t>
  </si>
  <si>
    <t>REPOSICION CENTRO ABIERTO BETANIA DE PERQUENCO</t>
  </si>
  <si>
    <t>INSTALACION SISTEMA AGUA POTABLE RURAL DOLLINCO-QUEPE, FREIRE</t>
  </si>
  <si>
    <t xml:space="preserve">INSTALACION AGUA POTABLE RURAL TRANAHUILLIN, CHOLCHOL </t>
  </si>
  <si>
    <t xml:space="preserve">MEJORAMIENTO INTERCONEXION VIAL TEMUCO-PADRE LAS CASAS </t>
  </si>
  <si>
    <t xml:space="preserve">REPOSICION POSTA SALUD RURAL TEMUCUICUI, ERCILLA </t>
  </si>
  <si>
    <t>CONSTRUCCION CALZADA ORIENTE AV.BRASIL (VALDIVIA-PRAT), LAUTARO</t>
  </si>
  <si>
    <t>CONSTRUCCION ESCUELA FUSIONADA AUSTRALIA Y REPUBLICA DE ISRAEL, TRAIGUEN</t>
  </si>
  <si>
    <t>CONSTRUCCION DE GRADERIAS CANCHA DE FUTBOL-TROVOLHUE, CARAHUE</t>
  </si>
  <si>
    <t>CONSTRUCCION GIMNASIO MUNICIPAL SECTOR EL CARMEN, TEMUCO</t>
  </si>
  <si>
    <t>MEJORAMIENTO CAMINO PERQUENCO-EL SOL, PERQUENCO</t>
  </si>
  <si>
    <t>EN ADJUDICACION</t>
  </si>
  <si>
    <t>MEJORAMIENTO CAMINO TRUFUL TRUFUL - CABEZA DE INDIO, MELIPEUCO</t>
  </si>
  <si>
    <t>REPOSICION ESCUELA BASICA E INTER.COMPLEJO EDUC. MONS. FCO. V., CURARREHUE</t>
  </si>
  <si>
    <t>REPOSICION POSTA SALUD RURAL PURAQUINA, PITRUFQUEN</t>
  </si>
  <si>
    <t>CONSERVACION CAMINO ALTO PINGUIDAHUE - BAJO  PINGUIDAHUE, PUREN</t>
  </si>
  <si>
    <t>CONSTRUCCION MULTICANCHA TECHADA ESCUELA H-46 TRANAMAN, PUREN</t>
  </si>
  <si>
    <t>MEJORAMIENTO CALLES PLEITEADO, LA PAZ Y LILLO, PADRE LAS CASAS</t>
  </si>
  <si>
    <t>AMPLIACION Y ADECUACION ESCUELA CAMPOS DEPORTIVO D-508, TEMUCO</t>
  </si>
  <si>
    <t xml:space="preserve">INSTALACION SISTEMA APR MARTINEZ DE ROZAS, FREIRE </t>
  </si>
  <si>
    <t>REPOSICION POSTA DE SALUD RURAL DE COI COI, CARAHUE</t>
  </si>
  <si>
    <t xml:space="preserve">RESTAURACION Y HABILITACION EX HOSPITAL DE ANGOL Y SU ENTORNO, ANGOL </t>
  </si>
  <si>
    <t>REPOSICION EDIFICIO CONSISTORIAL COMUNA DE MELIPEUCO</t>
  </si>
  <si>
    <t>INSTALACION SISTEMA DE AGUA POTABLE RURAL PAYA, LONCOCHE</t>
  </si>
  <si>
    <t>NORMALIZACION CENTRO SALUD FAMILIAR CONSULTORIO RURAL DE ERCILLA</t>
  </si>
  <si>
    <t xml:space="preserve">REPOSICION RETEN DE CARABINEROS DE TEODORO SCHMIDT </t>
  </si>
  <si>
    <t>CONSTRUCCION PUENTE 2° CALZADA AV.J.CARRERA (DURAND-MISTRAAL), TEMUCO</t>
  </si>
  <si>
    <t>REPOSICION ESCUELA F-761 VOIPIR DE ÑANCUL, VILLARRICA</t>
  </si>
  <si>
    <t>MEJORAMIENTO CAMINO FAJA 16000-LOS LAURELES, CUNCO</t>
  </si>
  <si>
    <t>MEJORAMIENTO CAMINO LLOLLEHUE - PEÑEHUE ETAPA II, TEODORO SCHMIDT</t>
  </si>
  <si>
    <t xml:space="preserve">INSTALACION AGUA POTABLE SECTOR MUNE: BAJO, ALTO Y CENTRO, PITRUFQUEN </t>
  </si>
  <si>
    <t>CONSTRUCCION MULTICANCHA TECHADA LOCALIDAD LA PAZ, LONCOCHE</t>
  </si>
  <si>
    <t xml:space="preserve">MEJOR.INTEGRAL CASA DE MAQUINAS, MUSEO NACIONAL FERROVIARIO, TEMUCO </t>
  </si>
  <si>
    <t>CONSERVACION CAMINO ALMAGRO - CARDAL, NUEVA IMPERIAL</t>
  </si>
  <si>
    <t>CONSTRUCCION ACCESO PEATONAL EL ALTO-NUEVA IMPERIAL</t>
  </si>
  <si>
    <t xml:space="preserve">INSTALACION SISTEMA AGUA POTABLE RURAL QUILMAHUE, LONQUIMAY </t>
  </si>
  <si>
    <t>REPOSICION CUARTEL SEPTIMA CIA. DE BOMBEROS II ETAPA, TEMUCO</t>
  </si>
  <si>
    <t>CONSTRUCCION GIMNASIO ESCUELA ALONSO DE ERCILLA E-504, TEMUCO</t>
  </si>
  <si>
    <t xml:space="preserve">INSTALACION SISTEMA APR LLAMAICO, PADRE LAS CASAS </t>
  </si>
  <si>
    <t xml:space="preserve">INSTALACION SISTEMA APR PILPILCO, PADRE LAS CASAS </t>
  </si>
  <si>
    <t>AMPLIACION Y ADECUACION ESCUELA AMANECER E - 481, TEMUCO</t>
  </si>
  <si>
    <t>MEJORAMIENTO CAMINO MACHIN-RESFALOSO, CURARREHUE</t>
  </si>
  <si>
    <t xml:space="preserve">INSTALACION APR RANQUILCO LA PIEDRA, GALVARINO </t>
  </si>
  <si>
    <t>INSTALACION SISTEMA AGUA POTABLE RURAL SANTA ELENA, ANGOL</t>
  </si>
  <si>
    <t xml:space="preserve">INSTALACION APR COLONIA MANUEL RODRIGUEZ, ANGOL </t>
  </si>
  <si>
    <t xml:space="preserve">INSTALACION APR CHANCO CORTE ALTO, PITRUFQUEN </t>
  </si>
  <si>
    <t>CONSTRUCCION CENTRO CULTURAL COMUNA DE LAUTARO</t>
  </si>
  <si>
    <t xml:space="preserve">INSTALACION AGUA POTABLE RURAL ENTRE RIOS LLOLLINCO, TEODORO SCHMIDT </t>
  </si>
  <si>
    <t xml:space="preserve">REPOSICION DEL RETEN DE CARABINEROS CATRIPULLI - CURARREHUE </t>
  </si>
  <si>
    <t>CONSTRUCCION SALA DE ESTIMU.TEMPRANA CONSULTORIO AMANECER, TEMUCO</t>
  </si>
  <si>
    <t>29-02-2010</t>
  </si>
  <si>
    <t>REPOSICION PLAZA DE ARMAS DE LONQUIMAY</t>
  </si>
  <si>
    <t>CONSTRUCCION POSTA SALUD RURAL RANQUIL, LONQUIMAY</t>
  </si>
  <si>
    <t>INSTALACION SISTEMA AGUA POTABLE MITRAUQUEN (ALTO Y BAJO), LONQUIMAY</t>
  </si>
  <si>
    <t xml:space="preserve">INSTALACION SISTEMA AGUA POTABLE RURAL SANTA LUISA, COLLIPULLI </t>
  </si>
  <si>
    <t xml:space="preserve">INSTALACION APR REDUCCION HUEQUEN ALTO, ANGOL </t>
  </si>
  <si>
    <t xml:space="preserve">INSTALACION SISTEMA APR CHACAICO, ANGOL </t>
  </si>
  <si>
    <t xml:space="preserve">INSTALACION APR MAICA BAJO Y ALTO, C OLLIPULLI </t>
  </si>
  <si>
    <t xml:space="preserve">INSTALACION SISTEMA APR SECTOR TRARULEMU, ANGOL </t>
  </si>
  <si>
    <t>CONSTRUCCION ESTADIO MUNICIPAL DE CHOLCHOL</t>
  </si>
  <si>
    <t xml:space="preserve">INSTALACION SISTEMA APR MUQUEN, LONCOCHE </t>
  </si>
  <si>
    <t>REPOSICION ESCUELA G-619 QUECHUREHUE, CUNCO</t>
  </si>
  <si>
    <t>AMPLIACION PATIO DE JUEGOS JARDIN INFANTIL LAS ARAUCARIAS, LAUTARO</t>
  </si>
  <si>
    <t xml:space="preserve">INSTALACION SISTEMA AGUA POTABLE RURAL CATRIPULLI, CARAHUE </t>
  </si>
  <si>
    <t xml:space="preserve">INSTALACION SISTEMA AGUA POTABLE RURAL AMULEY CULLINCO, CARAHUE </t>
  </si>
  <si>
    <t xml:space="preserve">INSTALACION SISTEMA APR RUCAHUE Y AILIO, CARAHUE </t>
  </si>
  <si>
    <t xml:space="preserve">INSTALACION APR CHAPO, ROBLE RICON, CHACAY (BAJO Y ALTO), CARAHUE </t>
  </si>
  <si>
    <t>INSTALACION AGUA POTABLE RURAL RINCONADA DE CULLINCO, CARAHUE</t>
  </si>
  <si>
    <t xml:space="preserve">INSTALACION AGUA POTABLE SAN JUAN DE DOLLINCO Y CATRICURA, LAUTARO </t>
  </si>
  <si>
    <t xml:space="preserve">INSTALACION SISTEMA APR CHEILLACO, VILLARRICA </t>
  </si>
  <si>
    <t xml:space="preserve">HABILITACION EJE BONILLA Y J.L. OSORIO ENTRE R-180 Y SECTOR CENTRO, ANGOL </t>
  </si>
  <si>
    <t>REPOSICION POSTA DE SALUD RURAL SECTOR QUELHUE, PUCON</t>
  </si>
  <si>
    <t>CONSTRUCCION SISTEMA EVACUACIÓN AGUAS LLUVIAS I ETAPA, PUCON</t>
  </si>
  <si>
    <t>MEJORAMIENTO UNIDAD CENTRAL ALIMENTACION HOSPITAL GALVARINO</t>
  </si>
  <si>
    <t xml:space="preserve">CONSTRUCCION INTERCONEXION CIRCUNVALACION SUR, ANGOL </t>
  </si>
  <si>
    <t>REPOSICION PLAZA COMUNITARIA DE ERCILLA</t>
  </si>
  <si>
    <t>REPOSICION POSTA SALUD RURAL CATRIPULLI, CARAHUE</t>
  </si>
  <si>
    <t>REPOSICION EDIFICIO CONSISTORIAL COLLIPULLI</t>
  </si>
  <si>
    <t xml:space="preserve">NORMALIZACION A CENTRO SALUD FAMILIAR CONSULTORIO RURAL DE LUMACO </t>
  </si>
  <si>
    <t>MEJORAMIENTO MULTICANCHA ESCUELA VILLA SAN PEDRO, PUCON</t>
  </si>
  <si>
    <t>MEJORAMIENTO MULTICANCHA ESCUELA LOS ARRAYANES, PUCON</t>
  </si>
  <si>
    <t>MEJORAMIENTO MULTICANCHA SECTOR VILLA CORDILLERA, PUCON</t>
  </si>
  <si>
    <t>MEJORAMIENTO CAMINO FAJA RICCI, GORBEA</t>
  </si>
  <si>
    <t>CONSERVACION CONEXIÓN VIAL BOROA CENTRAL-BOROA NORTE, TOLTEN</t>
  </si>
  <si>
    <t>REPOSICION VEHICULOS SEPTIMA COMISARIA DE CARABINEROS, VILLARRICA</t>
  </si>
  <si>
    <t xml:space="preserve">INSTALACION A.P.R.QUILLEM BAJO, ALTO Y QUEBRADA MOLINO, CARAHUE </t>
  </si>
  <si>
    <t>NORMALIZACION CENTRO DE SALUD FAMILIAR CONSULTORIO RURAL DE RENAICO</t>
  </si>
  <si>
    <t xml:space="preserve">INSTALACION APR LA ESPERANZA MONOPAINE, PADRE LAS CASAS </t>
  </si>
  <si>
    <t>CONSTRUCCION CENTRO COMUNITARIO DE MALALCAHUELLO, CURACAUTIN</t>
  </si>
  <si>
    <t>REPOSICION JARDIN INFANTIL LOCALIDAD DE MALALCAHUELLO, CURACAUTIN</t>
  </si>
  <si>
    <t>REPOSICION JARDIN INFANTIL DIEGO PORTALES, VILLARRICA</t>
  </si>
  <si>
    <t xml:space="preserve">INSTALACION SISTEMA APR EL SAUCE, VILLARRICA </t>
  </si>
  <si>
    <t>REPOSICION CUARTEL 1° COMPAÑÍA DE BOMBEROS, CURARREHUE</t>
  </si>
  <si>
    <t>HABILITACION CENTRO CULTURAL COMUNA DE PERQUENCO</t>
  </si>
  <si>
    <t>AMPLIACION SALA CUNA COPIHUITO DE LICAN RAY, VILLARRICA</t>
  </si>
  <si>
    <t>REPOSICION PLAZA DE ARMAS DE PITRUFQUEN</t>
  </si>
  <si>
    <t xml:space="preserve">CONSTRUCCION SISTEMA EVACUACIÓN A. LLUVIA SECTOR SUR ORIENTE, ANGOL </t>
  </si>
  <si>
    <t xml:space="preserve">CONSTRUCCION CONEXIÓN VIAL CURACO MALLA - GENERAL LOPEZ, VILCUN </t>
  </si>
  <si>
    <t xml:space="preserve">INSTALACION AGUA POTABLE MILLAHUIN BAJO, ALTO Y COIPUE, PITRUFQUEN </t>
  </si>
  <si>
    <t xml:space="preserve">INSTALACION SISTEMA APR DEHUEPILLE, PADRE LAS CASAS </t>
  </si>
  <si>
    <t xml:space="preserve">INSTALACION SISTEMA APR MOLCO CAUTIN, PADRE LAS CASAS </t>
  </si>
  <si>
    <t>CONSTRUCCION CASA ACOGIDA MUJERES VICT. VIOLENCIA INTRAFAMILIAR, TEMUCO</t>
  </si>
  <si>
    <t>CONSTRUCCION CENTRO DE SALUD RURAL LASTARRIA-GORBEA</t>
  </si>
  <si>
    <t>MEJORAMIENTO CENTRO DEPORTIVO CARAHUE</t>
  </si>
  <si>
    <t>REPOSICION ESCUELA CHACAIMAPU G-134 ERCILLA</t>
  </si>
  <si>
    <t>REPOSICION EDIFICIO MUNICIPAL PERQUENCO</t>
  </si>
  <si>
    <t>INSTALACION SISTEMA AGUA POTABLE RURAL METREÑEHUE, PUCON</t>
  </si>
  <si>
    <t>MEJORAMIENTO CAMINO CUESTA MALLECO (EX RUTA 5) COLLIPULLI</t>
  </si>
  <si>
    <t>MEJORAMIENTO CAMINO PERQUENCO-CEMENTERIO, PERQUENCO</t>
  </si>
  <si>
    <t>AMPLIACION CUARTEL 6° COMPAÑÍA DE BOMBEROS-PADRE LAS CASAS</t>
  </si>
  <si>
    <t>MEJORAMIENTO ESTADIO ALBERTO LARRAGIBEL MORALES DE ANGOL</t>
  </si>
  <si>
    <t>CONSTRUCCION ESTADIO MUNICIPAL LOCALIDAD DE CAJON, VILCUN</t>
  </si>
  <si>
    <t>MEJORAMIENTO SISTEMA DE RESPALDO ELECTRICO HOSPITAL LONCOCHE</t>
  </si>
  <si>
    <t>NORMALIZACION HOSPITAL COMUNITARIO Y FAMILIAR TOLTEN</t>
  </si>
  <si>
    <t>CONSTRUCCION HOSPITAL INTERCOMUNAL TEMUCO-PADRE LAS CASAS</t>
  </si>
  <si>
    <t>CONSTRUCCION GIMNASIO SECTOR PONIENTE, PITRUFQUEN</t>
  </si>
  <si>
    <t xml:space="preserve">CONSTRUCCION GIMNASIO MUNICIPAL LOCALIDAD DE ICALMA, LONQUIMAY </t>
  </si>
  <si>
    <t>MEJORAMIENTO CIRCUITO VIAL L.GALLO-PUDETO-ANTILEF-BELLO SERRANO, TEMUCO</t>
  </si>
  <si>
    <t>REPOSICION POSTA SALUD RURAL PICHIPELLAHUEN-LUMACO</t>
  </si>
  <si>
    <t xml:space="preserve">INSTALACION APR HUAPI TROVOLHUE, MACHACO GRANDE Y CHICO, CARAHUE  </t>
  </si>
  <si>
    <t xml:space="preserve">MEJORAMIENTO ESTADIO MUNICIPAL DE LUMACO </t>
  </si>
  <si>
    <t>AMPLIACION EDIFICIO CONSISTORIAL MUNICIPALIDAD DE CURACAUTIN</t>
  </si>
  <si>
    <t xml:space="preserve">INSTALACION AGUA POTABLE R.HUALLIZADA, CHADA, MOLCO, PITRUFQUEN </t>
  </si>
  <si>
    <t>REPOSICION POSTA DE SALUD RURAL RIO BLANCO, CURACAUTIN</t>
  </si>
  <si>
    <t>MEJORAMIENTO CAMINO HUEÑIVALES RIO BLANCO POR LEFUCO, CURACAUTIN</t>
  </si>
  <si>
    <t>MEJORAMIENTO CAMINO LA BARRA-NIGUE, TOLTEN</t>
  </si>
  <si>
    <t>REPOSICION POSTA SALUD RURAL LLIUCO, FREIRE</t>
  </si>
  <si>
    <t>INSTALACION SISTEMA AGUA POTABLE QUEUPUE, COIHUE Y  LLANCAN, TEO.SCHMIDT</t>
  </si>
  <si>
    <t>CONSTRUCCION OBRAS DE EMERGENCIA ESTERO LAS DIUCAS, ANGOL</t>
  </si>
  <si>
    <t xml:space="preserve">NORMA. HOSPITAL COMUNITARIO Y FAM. DR.EDUARDO GONZALEZ G., CUNCO </t>
  </si>
  <si>
    <t xml:space="preserve">NORMALIZACION HOSPITAL COMUNITARIO Y FAMILIAR VILCUN </t>
  </si>
  <si>
    <t>CONSTRUCCION CANCHA DE FUTBOL PIDIMA, ERCILLA</t>
  </si>
  <si>
    <t>INSTALACION SISTEMA AGUA POTABLE RURAL MISION BOROA, IMPERIAL</t>
  </si>
  <si>
    <t>INSTALACION SISTEMA AGUA POTABLE RURAL CUSACO, IMPERIAL</t>
  </si>
  <si>
    <t>18-08-201</t>
  </si>
  <si>
    <t>MEJORAMIENTO INTEGRAL SISTEMA AGUA POTABLE MONTEVERDE, TEMUCO</t>
  </si>
  <si>
    <t xml:space="preserve">CONSTRUCCION POSTA DE SALUD RURAL EPEUKURA, CURARREHUE </t>
  </si>
  <si>
    <t>INSTALACION SISTEMA AGUA POTABLE RURAL QUINTRILEO, LAUTARO</t>
  </si>
  <si>
    <t>CONSTRUCCION HOSPEDERIA VARONES EN SITUACION DE CALLE, TEMUCO</t>
  </si>
  <si>
    <t>NORMALIZACION A CENTRO DE SALUD FAMILIAR CONSULTORIO TEODORO SCHMIDT</t>
  </si>
  <si>
    <t>MEJORAMIENTO Y NORMALIZACION ESCUELA ALBORADA LONOCHE</t>
  </si>
  <si>
    <t>REPOSICION PUENTE PADRE ALBERTO HURTADO ULTRA CHOL CHOL, NVA.IMPERIAL</t>
  </si>
  <si>
    <t>REPOSICION POSTA DE SALUD RURAL HUITRANLEBU, PUREN</t>
  </si>
  <si>
    <t>MEJORAMIENTO INFRAESTRUCTURA VIAL SECTOR CENTRO, ANGOL</t>
  </si>
  <si>
    <t>INSTALACION SISTEMA AGUA POTABLE DOLLINCO ALHUECO, LAUTARO</t>
  </si>
  <si>
    <t>MEJORAMIENTO PLAZA PILLANLELBUN II ETAPA, LAUTARO</t>
  </si>
  <si>
    <t xml:space="preserve">INSTALACION SISTEMA AGUA POTABLE RURAL COLLIMALLIN, LONCOCHE </t>
  </si>
  <si>
    <t xml:space="preserve">INTALACION SISTEMA AGUA POTABLE ÑIRRIPIL Y STA.AMELIA, PITRUFQUEN </t>
  </si>
  <si>
    <t>CONSERVACION HOSPITAL COMUNITARIO Y FAMILIAR LONCOCHE</t>
  </si>
  <si>
    <t>CONSERVACION HOSPITAL COMUNITARIO Y FAMILIAR GALVARINO</t>
  </si>
  <si>
    <t>CONSERVACION HOSPITAL COMUNITARIO Y FAMILIAR GORBEA</t>
  </si>
  <si>
    <t>INSTALACION SISTEMA AGUA POTABLE RURAL CALOF, SAAVEDRA</t>
  </si>
  <si>
    <t>INSTALACION AGUA POTABLE RURAL EL ALMA GUACOLDA, SAAVEDRA</t>
  </si>
  <si>
    <t>REPOSICION CONSULTORIO GENERAL RURAL FREIRE Y ADECUACION A CESFAM</t>
  </si>
  <si>
    <t>NORMALIZACION A CENTRO SALUD FAMILIAR CONSULTORIO RURAL QUEPE, FREIRE</t>
  </si>
  <si>
    <t>MEJORAMIENTO CAMINO COLLIPULLI-SAN ANDRES TRAMO KM 8.7 - KM 22.0, COLLIPULLI</t>
  </si>
  <si>
    <t>INSTALACION SISTEMA AGUA POTABLE RURAL BOTACURA, GORBEA</t>
  </si>
  <si>
    <t>CONSTRUCCION OBRAS PLAN DE CIERRE VERTEDERO BOYECO, TEMUCO</t>
  </si>
  <si>
    <t>INSTALACION AGUA POTABLE CALLE DEL MEDIO SECTOR LOS TEMOS, LAUTARO</t>
  </si>
  <si>
    <t>MEJORAMIENTO CAMINO REHUECOYAN-RUTA 5 SUR, PERQUENCO</t>
  </si>
  <si>
    <t>INSTALACION SISTEMA AGUA POTABLE RURAL SALTAPURA, IMPERIAL</t>
  </si>
  <si>
    <t>CONSTRUCCION MULTICANCHA TECHADA ESCUELA G-67 CAUPOLICAN, PUREN</t>
  </si>
  <si>
    <t>MEJORAMIENTO ESTADIO PEDRO AGURRE CERDA-CURACAUTIN</t>
  </si>
  <si>
    <t>CONSERVACION CAMINOS PDI COMUNAS DE COLLIPULLI Y TRAIGUEN</t>
  </si>
  <si>
    <t xml:space="preserve">CONSERVACION CAMINOS PDI COMUNA DE FREIRE Y GORBEA </t>
  </si>
  <si>
    <t>CONSTRUCCION SISTEMA DE AGUA POTABLE RURAL PEWENCO, COMUNA VICTORIA</t>
  </si>
  <si>
    <t>CONSTRUCCION RED ELECT.PEWENCO-LUISA ANCAMILLA, VICTORIA</t>
  </si>
  <si>
    <t>CONSTRUCCION RED ELECT.PEWENCO-PANCHO CURAMIL, VICTORIA</t>
  </si>
  <si>
    <t>MEJORAMIENTO CAMINOS COMUNIDADES PLAN PEWENCO, VICTORIA</t>
  </si>
  <si>
    <t xml:space="preserve">CONSERVACION CAMINOS PDI COMUNAS LAUTARO Y VILCUN </t>
  </si>
  <si>
    <t>CONSERVACION CAMINOS PDI COMUNA DE GALVARINO</t>
  </si>
  <si>
    <t>CONSERVACION CAMINOS PDI COMUNA DE NUEVA IMPERIAL</t>
  </si>
  <si>
    <t>CONSERVACION CAMINOS PDI COMUNA DE CHOLCHOL</t>
  </si>
  <si>
    <t>CONSERVACION CNOS. PDI COMUNAS CARAHUE-PADRE LAS CASAS-NUEVA IMPERIAL</t>
  </si>
  <si>
    <t>CONSERVACION CAMINOS PDI COMUNA VILLARRICA</t>
  </si>
  <si>
    <t>CONSERVACION CAMINOS PDI COMUNA DE CURARREHUE</t>
  </si>
  <si>
    <t>TRANSFERENCIA DE TECNICAS EN PRODUCCION TEXTIL OVINA, IMPERIAL</t>
  </si>
  <si>
    <t>DIFUSION PLANES REGULADORES, IX REGION</t>
  </si>
  <si>
    <t>TRANSFERENCIA PEQUEÑOS PRODUCTORES AGROPECUARIOS DE LONQUIMAY</t>
  </si>
  <si>
    <t>TRANSFERENCIA TECNICA PRODUCCION Y COMERCIALIZACION APICOLA, GALVARINO</t>
  </si>
  <si>
    <t>TRANSFERENCIA TECNOLOGICA PARA EL DESARROLLO OVINO, GALVARINO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</si>
  <si>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</si>
  <si>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</si>
  <si>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</si>
  <si>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</si>
  <si>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TOTAL IDENTIFICADO 31.02</t>
  </si>
  <si>
    <t>TOTAL IDENTIFICADO 31.03</t>
  </si>
  <si>
    <t>TOTAL IDENTIFICADO 31.01</t>
  </si>
  <si>
    <t>TOTAL 31.01; 31.02; 31.03</t>
  </si>
  <si>
    <t>Listado de Proyectos y/o Programas correspondientes al Subtítulo 31</t>
  </si>
  <si>
    <t>Ministerio del Interior - Región IX Araucanía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</si>
</sst>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horizontal="center"/>
      <protection locked="0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>
      <alignment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0" fontId="6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3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15" fontId="5" fillId="0" borderId="10" xfId="49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3" fontId="5" fillId="0" borderId="10" xfId="53" applyNumberFormat="1" applyFont="1" applyFill="1" applyBorder="1" applyAlignment="1" applyProtection="1">
      <alignment horizontal="center" vertical="center"/>
      <protection locked="0"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3" fontId="39" fillId="0" borderId="12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" name="Line 150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" name="Line 15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" name="Line 152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" name="Line 15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" name="Line 15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" name="Line 15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" name="Line 156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" name="Line 15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" name="Line 158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" name="Line 15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" name="Line 16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" name="Line 161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" name="Line 16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" name="Line 16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" name="Line 164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" name="Line 16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" name="Line 166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" name="Line 16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" name="Line 16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" name="Line 16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" name="Line 170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" name="Line 17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" name="Line 172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" name="Line 17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" name="Line 17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" name="Line 175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" name="Line 17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" name="Line 17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29" name="Line 178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0" name="Line 179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1" name="Line 18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2" name="Line 181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3" name="Line 18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4" name="Line 18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35" name="Line 18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36" name="Line 185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7" name="Line 186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8" name="Line 187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9" name="Line 188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0" name="Line 189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1" name="Line 19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2" name="Line 191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3" name="Line 19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4" name="Line 19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5" name="Line 19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6" name="Line 195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7" name="Line 19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8" name="Line 197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9" name="Line 19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0" name="Line 19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1" name="Line 200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2" name="Line 20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3" name="Line 20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4" name="Line 203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5" name="Line 20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6" name="Line 205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7" name="Line 20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8" name="Line 20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9" name="Line 20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0" name="Line 209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1" name="Line 21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2" name="Line 211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3" name="Line 21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4" name="Line 21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5" name="Line 214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6" name="Line 21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7" name="Line 21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68" name="Line 217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9" name="Line 218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0" name="Line 21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1" name="Line 220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2" name="Line 22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3" name="Line 22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4" name="Line 22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75" name="Line 224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76" name="Line 225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77" name="Line 226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78" name="Line 227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79" name="Line 228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0" name="Line 22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1" name="Line 230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2" name="Line 23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3" name="Line 23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4" name="Line 23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5" name="Line 234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6" name="Line 23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7" name="Line 236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8" name="Line 23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89" name="Line 23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0" name="Line 239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1" name="Line 24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2" name="Line 24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3" name="Line 242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4" name="Line 24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5" name="Line 244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6" name="Line 24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7" name="Line 24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8" name="Line 24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9" name="Line 248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0" name="Line 24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1" name="Line 250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2" name="Line 25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3" name="Line 25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4" name="Line 253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5" name="Line 25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6" name="Line 25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7" name="Line 256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8" name="Line 25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9" name="Line 258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0" name="Line 25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1" name="Line 26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2" name="Line 26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113" name="Line 262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4" name="Line 263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5" name="Line 26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6" name="Line 265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7" name="Line 26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8" name="Line 26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9" name="Line 26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1" name="Line 27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2" name="Line 271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3" name="Line 27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4" name="Line 27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5" name="Line 274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6" name="Line 27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7" name="Line 27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8" name="Line 277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9" name="Line 27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0" name="Line 279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1" name="Line 28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2" name="Line 28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3" name="Line 28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4" name="Line 283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5" name="Line 28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6" name="Line 285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7" name="Line 28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8" name="Line 28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9" name="Line 288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0" name="Line 28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1" name="Line 29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2" name="Line 291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3" name="Line 29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4" name="Line 293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5" name="Line 29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6" name="Line 29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147" name="Line 296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48" name="Line 297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49" name="Line 298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150" name="Line 299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51" name="Line 300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2" name="Line 301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3" name="Line 30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4" name="Line 303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5" name="Line 30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6" name="Line 30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7" name="Line 30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8" name="Line 307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9" name="Line 30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0" name="Line 309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1" name="Line 31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2" name="Line 31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3" name="Line 312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4" name="Line 31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5" name="Line 31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6" name="Line 315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7" name="Line 31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8" name="Line 317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9" name="Line 31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0" name="Line 31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1" name="Line 32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2" name="Line 321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3" name="Line 32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4" name="Line 323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5" name="Line 32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6" name="Line 32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7" name="Line 326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8" name="Line 32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9" name="Line 32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180" name="Line 329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1" name="Line 330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2" name="Line 33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3" name="Line 332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4" name="Line 33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5" name="Line 33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6" name="Line 33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187" name="Line 336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88" name="Line 337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89" name="Line 338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90" name="Line 339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1" name="Line 340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2" name="Line 34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3" name="Line 342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4" name="Line 34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5" name="Line 34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6" name="Line 34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7" name="Line 346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8" name="Line 34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99" name="Line 348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0" name="Line 34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1" name="Line 35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2" name="Line 351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3" name="Line 35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4" name="Line 35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5" name="Line 354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6" name="Line 35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7" name="Line 356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8" name="Line 35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9" name="Line 35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0" name="Line 35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1" name="Line 360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2" name="Line 36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3" name="Line 362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4" name="Line 36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5" name="Line 36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6" name="Line 365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7" name="Line 36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18" name="Line 36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219" name="Line 368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0" name="Line 369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1" name="Line 37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2" name="Line 371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3" name="Line 37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4" name="Line 37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25" name="Line 37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226" name="Line 375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227" name="Line 376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228" name="Line 377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229" name="Line 378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0" name="Line 379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1" name="Line 38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2" name="Line 381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3" name="Line 38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4" name="Line 38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5" name="Line 38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6" name="Line 385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7" name="Line 38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8" name="Line 387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39" name="Line 38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0" name="Line 38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1" name="Line 390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2" name="Line 39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3" name="Line 39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4" name="Line 393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5" name="Line 39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6" name="Line 395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7" name="Line 39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8" name="Line 39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49" name="Line 39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0" name="Line 399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1" name="Line 40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2" name="Line 401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3" name="Line 40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4" name="Line 40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5" name="Line 404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6" name="Line 40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7" name="Line 40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8" name="Line 407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59" name="Line 40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0" name="Line 409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1" name="Line 41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2" name="Line 41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3" name="Line 41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264" name="Line 413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5" name="Line 414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6" name="Line 41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7" name="Line 416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8" name="Line 41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69" name="Line 41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0" name="Line 41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1" name="Line 420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2" name="Line 42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3" name="Line 422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4" name="Line 42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5" name="Line 424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6" name="Line 425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7" name="Line 42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8" name="Line 42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79" name="Line 428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0" name="Line 429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1" name="Line 430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2" name="Line 43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3" name="Line 432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4" name="Line 43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5" name="Line 434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6" name="Line 43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7" name="Line 436"/>
        <xdr:cNvSpPr>
          <a:spLocks/>
        </xdr:cNvSpPr>
      </xdr:nvSpPr>
      <xdr:spPr>
        <a:xfrm flipV="1"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8" name="Line 437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89" name="Line 438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0" name="Line 439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1" name="Line 440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2" name="Line 441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3" name="Line 442"/>
        <xdr:cNvSpPr>
          <a:spLocks/>
        </xdr:cNvSpPr>
      </xdr:nvSpPr>
      <xdr:spPr>
        <a:xfrm>
          <a:off x="4800600" y="192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4" name="Line 443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5" name="Line 444"/>
        <xdr:cNvSpPr>
          <a:spLocks/>
        </xdr:cNvSpPr>
      </xdr:nvSpPr>
      <xdr:spPr>
        <a:xfrm>
          <a:off x="4781550" y="19250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6" name="Line 445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97" name="Line 446"/>
        <xdr:cNvSpPr>
          <a:spLocks/>
        </xdr:cNvSpPr>
      </xdr:nvSpPr>
      <xdr:spPr>
        <a:xfrm>
          <a:off x="4810125" y="19250025"/>
          <a:ext cx="1809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298" name="Line 447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299" name="Line 448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00" name="Line 449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19050</xdr:colOff>
      <xdr:row>98</xdr:row>
      <xdr:rowOff>0</xdr:rowOff>
    </xdr:to>
    <xdr:sp>
      <xdr:nvSpPr>
        <xdr:cNvPr id="301" name="Line 450"/>
        <xdr:cNvSpPr>
          <a:spLocks/>
        </xdr:cNvSpPr>
      </xdr:nvSpPr>
      <xdr:spPr>
        <a:xfrm>
          <a:off x="828675" y="19250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02" name="Line 451"/>
        <xdr:cNvSpPr>
          <a:spLocks/>
        </xdr:cNvSpPr>
      </xdr:nvSpPr>
      <xdr:spPr>
        <a:xfrm>
          <a:off x="57150" y="19250025"/>
          <a:ext cx="771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5"/>
  <sheetViews>
    <sheetView tabSelected="1" zoomScalePageLayoutView="0" workbookViewId="0" topLeftCell="A1">
      <selection activeCell="G226" sqref="G222:G226"/>
    </sheetView>
  </sheetViews>
  <sheetFormatPr defaultColWidth="11.421875" defaultRowHeight="15"/>
  <cols>
    <col min="1" max="1" width="12.421875" style="0" customWidth="1"/>
    <col min="2" max="2" width="62.421875" style="0" bestFit="1" customWidth="1"/>
    <col min="3" max="3" width="23.421875" style="0" bestFit="1" customWidth="1"/>
    <col min="4" max="4" width="14.00390625" style="0" bestFit="1" customWidth="1"/>
    <col min="5" max="5" width="13.28125" style="0" customWidth="1"/>
    <col min="6" max="6" width="13.421875" style="0" customWidth="1"/>
  </cols>
  <sheetData>
    <row r="2" spans="1:6" ht="21">
      <c r="A2" s="27" t="s">
        <v>225</v>
      </c>
      <c r="B2" s="27"/>
      <c r="C2" s="27"/>
      <c r="D2" s="27"/>
      <c r="E2" s="27"/>
      <c r="F2" s="27"/>
    </row>
    <row r="3" spans="1:6" ht="21">
      <c r="A3" s="27" t="s">
        <v>226</v>
      </c>
      <c r="B3" s="27"/>
      <c r="C3" s="27"/>
      <c r="D3" s="27"/>
      <c r="E3" s="27"/>
      <c r="F3" s="27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48" t="s">
        <v>5</v>
      </c>
      <c r="F6" s="49"/>
    </row>
    <row r="7" spans="1:6" s="10" customFormat="1" ht="15">
      <c r="A7" s="6">
        <v>30057722</v>
      </c>
      <c r="B7" s="7" t="s">
        <v>6</v>
      </c>
      <c r="C7" s="25">
        <f>42000</f>
        <v>42000</v>
      </c>
      <c r="D7" s="8" t="s">
        <v>7</v>
      </c>
      <c r="E7" s="9"/>
      <c r="F7" s="9"/>
    </row>
    <row r="8" spans="1:6" s="10" customFormat="1" ht="15">
      <c r="A8" s="11">
        <v>30068524</v>
      </c>
      <c r="B8" s="7" t="s">
        <v>8</v>
      </c>
      <c r="C8" s="26">
        <f>10224</f>
        <v>10224</v>
      </c>
      <c r="D8" s="8" t="s">
        <v>9</v>
      </c>
      <c r="E8" s="9"/>
      <c r="F8" s="9"/>
    </row>
    <row r="9" spans="1:6" s="10" customFormat="1" ht="15">
      <c r="A9" s="11">
        <v>30085386</v>
      </c>
      <c r="B9" s="12" t="s">
        <v>10</v>
      </c>
      <c r="C9" s="26">
        <f>15500</f>
        <v>15500</v>
      </c>
      <c r="D9" s="8" t="s">
        <v>7</v>
      </c>
      <c r="E9" s="9"/>
      <c r="F9" s="9"/>
    </row>
    <row r="10" spans="1:6" s="10" customFormat="1" ht="15">
      <c r="A10" s="50" t="s">
        <v>223</v>
      </c>
      <c r="B10" s="51"/>
      <c r="C10" s="54">
        <f>+SUM(C7:C9)</f>
        <v>67724</v>
      </c>
      <c r="D10" s="56"/>
      <c r="E10" s="57"/>
      <c r="F10" s="58"/>
    </row>
    <row r="11" spans="1:6" s="10" customFormat="1" ht="15">
      <c r="A11" s="52"/>
      <c r="B11" s="53"/>
      <c r="C11" s="55"/>
      <c r="D11" s="59"/>
      <c r="E11" s="60"/>
      <c r="F11" s="61"/>
    </row>
    <row r="12" spans="1:6" s="10" customFormat="1" ht="15">
      <c r="A12" s="11">
        <v>20032681</v>
      </c>
      <c r="B12" s="12" t="s">
        <v>11</v>
      </c>
      <c r="C12" s="26">
        <f>7649</f>
        <v>7649</v>
      </c>
      <c r="D12" s="8" t="s">
        <v>9</v>
      </c>
      <c r="E12" s="23"/>
      <c r="F12" s="23"/>
    </row>
    <row r="13" spans="1:6" s="10" customFormat="1" ht="15">
      <c r="A13" s="11">
        <v>20055551</v>
      </c>
      <c r="B13" s="12" t="s">
        <v>12</v>
      </c>
      <c r="C13" s="26">
        <f>1100</f>
        <v>1100</v>
      </c>
      <c r="D13" s="13" t="s">
        <v>13</v>
      </c>
      <c r="E13" s="23">
        <v>40049</v>
      </c>
      <c r="F13" s="23" t="s">
        <v>14</v>
      </c>
    </row>
    <row r="14" spans="1:6" s="10" customFormat="1" ht="15">
      <c r="A14" s="14">
        <v>20084070</v>
      </c>
      <c r="B14" s="15" t="s">
        <v>15</v>
      </c>
      <c r="C14" s="26">
        <f>6969</f>
        <v>6969</v>
      </c>
      <c r="D14" s="8" t="s">
        <v>9</v>
      </c>
      <c r="E14" s="23"/>
      <c r="F14" s="23"/>
    </row>
    <row r="15" spans="1:6" s="10" customFormat="1" ht="15">
      <c r="A15" s="14">
        <v>20105878</v>
      </c>
      <c r="B15" s="12" t="s">
        <v>16</v>
      </c>
      <c r="C15" s="26">
        <f>732164</f>
        <v>732164</v>
      </c>
      <c r="D15" s="13"/>
      <c r="E15" s="23"/>
      <c r="F15" s="23"/>
    </row>
    <row r="16" spans="1:6" s="10" customFormat="1" ht="15">
      <c r="A16" s="16">
        <v>20112222</v>
      </c>
      <c r="B16" s="7" t="s">
        <v>17</v>
      </c>
      <c r="C16" s="26">
        <f>101389</f>
        <v>101389</v>
      </c>
      <c r="D16" s="13" t="s">
        <v>13</v>
      </c>
      <c r="E16" s="23">
        <v>40148</v>
      </c>
      <c r="F16" s="23">
        <v>40299</v>
      </c>
    </row>
    <row r="17" spans="1:6" s="10" customFormat="1" ht="15">
      <c r="A17" s="11">
        <v>20123942</v>
      </c>
      <c r="B17" s="12" t="s">
        <v>18</v>
      </c>
      <c r="C17" s="26">
        <f>28602+360</f>
        <v>28962</v>
      </c>
      <c r="D17" s="13"/>
      <c r="E17" s="23"/>
      <c r="F17" s="23"/>
    </row>
    <row r="18" spans="1:6" s="10" customFormat="1" ht="15">
      <c r="A18" s="16">
        <v>20134488</v>
      </c>
      <c r="B18" s="7" t="s">
        <v>19</v>
      </c>
      <c r="C18" s="26">
        <f>6600</f>
        <v>6600</v>
      </c>
      <c r="D18" s="13" t="s">
        <v>13</v>
      </c>
      <c r="E18" s="23">
        <v>39666</v>
      </c>
      <c r="F18" s="23">
        <v>39891</v>
      </c>
    </row>
    <row r="19" spans="1:6" s="10" customFormat="1" ht="15">
      <c r="A19" s="16">
        <v>20139324</v>
      </c>
      <c r="B19" s="7" t="s">
        <v>20</v>
      </c>
      <c r="C19" s="26">
        <f>165678</f>
        <v>165678</v>
      </c>
      <c r="D19" s="8" t="s">
        <v>7</v>
      </c>
      <c r="E19" s="23"/>
      <c r="F19" s="23"/>
    </row>
    <row r="20" spans="1:6" s="10" customFormat="1" ht="15">
      <c r="A20" s="11">
        <v>20151227</v>
      </c>
      <c r="B20" s="12" t="s">
        <v>21</v>
      </c>
      <c r="C20" s="25">
        <f>34670</f>
        <v>34670</v>
      </c>
      <c r="D20" s="13" t="s">
        <v>13</v>
      </c>
      <c r="E20" s="23">
        <v>40100</v>
      </c>
      <c r="F20" s="23">
        <v>40325</v>
      </c>
    </row>
    <row r="21" spans="1:6" s="10" customFormat="1" ht="15">
      <c r="A21" s="11">
        <v>20151310</v>
      </c>
      <c r="B21" s="12" t="s">
        <v>22</v>
      </c>
      <c r="C21" s="26">
        <f>10500</f>
        <v>10500</v>
      </c>
      <c r="D21" s="8" t="s">
        <v>9</v>
      </c>
      <c r="E21" s="23"/>
      <c r="F21" s="23"/>
    </row>
    <row r="22" spans="1:6" s="10" customFormat="1" ht="15">
      <c r="A22" s="11">
        <v>20151325</v>
      </c>
      <c r="B22" s="12" t="s">
        <v>23</v>
      </c>
      <c r="C22" s="26">
        <f>10000</f>
        <v>10000</v>
      </c>
      <c r="D22" s="8" t="s">
        <v>7</v>
      </c>
      <c r="E22" s="23"/>
      <c r="F22" s="23"/>
    </row>
    <row r="23" spans="1:6" s="10" customFormat="1" ht="15">
      <c r="A23" s="16">
        <v>20154903</v>
      </c>
      <c r="B23" s="12" t="s">
        <v>24</v>
      </c>
      <c r="C23" s="26">
        <f>1100</f>
        <v>1100</v>
      </c>
      <c r="D23" s="13" t="s">
        <v>13</v>
      </c>
      <c r="E23" s="23">
        <v>40049</v>
      </c>
      <c r="F23" s="23">
        <v>40169</v>
      </c>
    </row>
    <row r="24" spans="1:6" s="10" customFormat="1" ht="15">
      <c r="A24" s="16">
        <v>20155371</v>
      </c>
      <c r="B24" s="7" t="s">
        <v>25</v>
      </c>
      <c r="C24" s="26">
        <f>6258</f>
        <v>6258</v>
      </c>
      <c r="D24" s="13" t="s">
        <v>13</v>
      </c>
      <c r="E24" s="23">
        <v>40087</v>
      </c>
      <c r="F24" s="23">
        <v>40299</v>
      </c>
    </row>
    <row r="25" spans="1:6" s="10" customFormat="1" ht="15">
      <c r="A25" s="11">
        <v>20155945</v>
      </c>
      <c r="B25" s="12" t="s">
        <v>26</v>
      </c>
      <c r="C25" s="26">
        <f>600003+4080</f>
        <v>604083</v>
      </c>
      <c r="D25" s="13" t="s">
        <v>13</v>
      </c>
      <c r="E25" s="23">
        <v>39813</v>
      </c>
      <c r="F25" s="23">
        <v>40293</v>
      </c>
    </row>
    <row r="26" spans="1:6" s="10" customFormat="1" ht="15">
      <c r="A26" s="11">
        <v>20160270</v>
      </c>
      <c r="B26" s="12" t="s">
        <v>27</v>
      </c>
      <c r="C26" s="26">
        <f>23045</f>
        <v>23045</v>
      </c>
      <c r="D26" s="13" t="s">
        <v>13</v>
      </c>
      <c r="E26" s="23">
        <v>39896</v>
      </c>
      <c r="F26" s="23">
        <v>40321</v>
      </c>
    </row>
    <row r="27" spans="1:6" s="10" customFormat="1" ht="22.5">
      <c r="A27" s="16">
        <v>20160280</v>
      </c>
      <c r="B27" s="7" t="s">
        <v>28</v>
      </c>
      <c r="C27" s="26">
        <f>10000</f>
        <v>10000</v>
      </c>
      <c r="D27" s="8" t="s">
        <v>7</v>
      </c>
      <c r="E27" s="23"/>
      <c r="F27" s="23"/>
    </row>
    <row r="28" spans="1:6" s="10" customFormat="1" ht="15">
      <c r="A28" s="16">
        <v>20167633</v>
      </c>
      <c r="B28" s="12" t="s">
        <v>29</v>
      </c>
      <c r="C28" s="26">
        <f>55796</f>
        <v>55796</v>
      </c>
      <c r="D28" s="13" t="s">
        <v>13</v>
      </c>
      <c r="E28" s="23">
        <v>39722</v>
      </c>
      <c r="F28" s="23">
        <v>40299</v>
      </c>
    </row>
    <row r="29" spans="1:6" s="10" customFormat="1" ht="15">
      <c r="A29" s="14">
        <v>20167653</v>
      </c>
      <c r="B29" s="15" t="s">
        <v>30</v>
      </c>
      <c r="C29" s="26">
        <f>108790+1429</f>
        <v>110219</v>
      </c>
      <c r="D29" s="13" t="s">
        <v>13</v>
      </c>
      <c r="E29" s="23">
        <v>39715</v>
      </c>
      <c r="F29" s="23">
        <v>40185</v>
      </c>
    </row>
    <row r="30" spans="1:6" s="10" customFormat="1" ht="15">
      <c r="A30" s="11">
        <v>20177687</v>
      </c>
      <c r="B30" s="12" t="s">
        <v>31</v>
      </c>
      <c r="C30" s="26">
        <f>2845</f>
        <v>2845</v>
      </c>
      <c r="D30" s="13"/>
      <c r="E30" s="23"/>
      <c r="F30" s="23"/>
    </row>
    <row r="31" spans="1:6" s="10" customFormat="1" ht="15">
      <c r="A31" s="16">
        <v>20178136</v>
      </c>
      <c r="B31" s="12" t="s">
        <v>32</v>
      </c>
      <c r="C31" s="26">
        <f>37595</f>
        <v>37595</v>
      </c>
      <c r="D31" s="13" t="s">
        <v>13</v>
      </c>
      <c r="E31" s="23">
        <v>40100</v>
      </c>
      <c r="F31" s="23">
        <v>40325</v>
      </c>
    </row>
    <row r="32" spans="1:6" s="10" customFormat="1" ht="15">
      <c r="A32" s="11">
        <v>20178141</v>
      </c>
      <c r="B32" s="12" t="s">
        <v>33</v>
      </c>
      <c r="C32" s="26">
        <f>10500</f>
        <v>10500</v>
      </c>
      <c r="D32" s="8" t="s">
        <v>9</v>
      </c>
      <c r="E32" s="23"/>
      <c r="F32" s="23"/>
    </row>
    <row r="33" spans="1:6" s="10" customFormat="1" ht="15">
      <c r="A33" s="11">
        <v>20178168</v>
      </c>
      <c r="B33" s="12" t="s">
        <v>34</v>
      </c>
      <c r="C33" s="26">
        <f>10500</f>
        <v>10500</v>
      </c>
      <c r="D33" s="8" t="s">
        <v>9</v>
      </c>
      <c r="E33" s="23"/>
      <c r="F33" s="23"/>
    </row>
    <row r="34" spans="1:6" s="10" customFormat="1" ht="15">
      <c r="A34" s="16">
        <v>20178170</v>
      </c>
      <c r="B34" s="7" t="s">
        <v>35</v>
      </c>
      <c r="C34" s="26">
        <f>10500</f>
        <v>10500</v>
      </c>
      <c r="D34" s="8" t="s">
        <v>7</v>
      </c>
      <c r="E34" s="23"/>
      <c r="F34" s="23"/>
    </row>
    <row r="35" spans="1:6" s="10" customFormat="1" ht="15">
      <c r="A35" s="11">
        <v>20178326</v>
      </c>
      <c r="B35" s="12" t="s">
        <v>36</v>
      </c>
      <c r="C35" s="26">
        <f>4344+8238</f>
        <v>12582</v>
      </c>
      <c r="D35" s="13" t="s">
        <v>13</v>
      </c>
      <c r="E35" s="23">
        <v>40148</v>
      </c>
      <c r="F35" s="23">
        <v>40330</v>
      </c>
    </row>
    <row r="36" spans="1:6" s="10" customFormat="1" ht="15">
      <c r="A36" s="17">
        <v>20178477</v>
      </c>
      <c r="B36" s="18" t="s">
        <v>37</v>
      </c>
      <c r="C36" s="26">
        <f>22658</f>
        <v>22658</v>
      </c>
      <c r="D36" s="13" t="s">
        <v>13</v>
      </c>
      <c r="E36" s="23">
        <v>40238</v>
      </c>
      <c r="F36" s="23">
        <v>40391</v>
      </c>
    </row>
    <row r="37" spans="1:6" s="10" customFormat="1" ht="15">
      <c r="A37" s="11">
        <v>20178560</v>
      </c>
      <c r="B37" s="12" t="s">
        <v>38</v>
      </c>
      <c r="C37" s="26">
        <f>11229+36481</f>
        <v>47710</v>
      </c>
      <c r="D37" s="13" t="s">
        <v>13</v>
      </c>
      <c r="E37" s="23">
        <v>39910</v>
      </c>
      <c r="F37" s="23">
        <v>40150</v>
      </c>
    </row>
    <row r="38" spans="1:6" s="10" customFormat="1" ht="15">
      <c r="A38" s="11">
        <v>20178613</v>
      </c>
      <c r="B38" s="12" t="s">
        <v>39</v>
      </c>
      <c r="C38" s="26">
        <f>10500</f>
        <v>10500</v>
      </c>
      <c r="D38" s="8" t="s">
        <v>9</v>
      </c>
      <c r="E38" s="23"/>
      <c r="F38" s="23"/>
    </row>
    <row r="39" spans="1:6" s="10" customFormat="1" ht="15">
      <c r="A39" s="14">
        <v>20181355</v>
      </c>
      <c r="B39" s="15" t="s">
        <v>40</v>
      </c>
      <c r="C39" s="26">
        <f>152000</f>
        <v>152000</v>
      </c>
      <c r="D39" s="8" t="s">
        <v>7</v>
      </c>
      <c r="E39" s="23"/>
      <c r="F39" s="23"/>
    </row>
    <row r="40" spans="1:6" s="10" customFormat="1" ht="15">
      <c r="A40" s="16">
        <v>20184430</v>
      </c>
      <c r="B40" s="7" t="s">
        <v>41</v>
      </c>
      <c r="C40" s="26">
        <f>50002</f>
        <v>50002</v>
      </c>
      <c r="D40" s="8" t="s">
        <v>7</v>
      </c>
      <c r="E40" s="23"/>
      <c r="F40" s="23"/>
    </row>
    <row r="41" spans="1:6" s="10" customFormat="1" ht="15">
      <c r="A41" s="16">
        <v>20185394</v>
      </c>
      <c r="B41" s="7" t="s">
        <v>42</v>
      </c>
      <c r="C41" s="26">
        <f>220485+32364</f>
        <v>252849</v>
      </c>
      <c r="D41" s="13" t="s">
        <v>13</v>
      </c>
      <c r="E41" s="23">
        <v>40121</v>
      </c>
      <c r="F41" s="23">
        <v>40271</v>
      </c>
    </row>
    <row r="42" spans="1:6" s="10" customFormat="1" ht="22.5">
      <c r="A42" s="11">
        <v>20187648</v>
      </c>
      <c r="B42" s="12" t="s">
        <v>43</v>
      </c>
      <c r="C42" s="26">
        <f>409892-3520</f>
        <v>406372</v>
      </c>
      <c r="D42" s="13" t="s">
        <v>13</v>
      </c>
      <c r="E42" s="23">
        <v>40189</v>
      </c>
      <c r="F42" s="23">
        <v>40369</v>
      </c>
    </row>
    <row r="43" spans="1:6" s="10" customFormat="1" ht="15">
      <c r="A43" s="11">
        <v>20188206</v>
      </c>
      <c r="B43" s="15" t="s">
        <v>44</v>
      </c>
      <c r="C43" s="26">
        <f>3119</f>
        <v>3119</v>
      </c>
      <c r="D43" s="13" t="s">
        <v>13</v>
      </c>
      <c r="E43" s="23">
        <v>40085</v>
      </c>
      <c r="F43" s="23">
        <v>40140</v>
      </c>
    </row>
    <row r="44" spans="1:6" s="10" customFormat="1" ht="15">
      <c r="A44" s="11">
        <v>20188730</v>
      </c>
      <c r="B44" s="12" t="s">
        <v>45</v>
      </c>
      <c r="C44" s="26">
        <f>150001</f>
        <v>150001</v>
      </c>
      <c r="D44" s="8" t="s">
        <v>7</v>
      </c>
      <c r="E44" s="23"/>
      <c r="F44" s="23"/>
    </row>
    <row r="45" spans="1:6" s="10" customFormat="1" ht="15">
      <c r="A45" s="11">
        <v>20188794</v>
      </c>
      <c r="B45" s="12" t="s">
        <v>46</v>
      </c>
      <c r="C45" s="26">
        <f>753501</f>
        <v>753501</v>
      </c>
      <c r="D45" s="8" t="s">
        <v>47</v>
      </c>
      <c r="E45" s="23"/>
      <c r="F45" s="23"/>
    </row>
    <row r="46" spans="1:6" s="10" customFormat="1" ht="15">
      <c r="A46" s="16">
        <v>20188828</v>
      </c>
      <c r="B46" s="7" t="s">
        <v>48</v>
      </c>
      <c r="C46" s="26">
        <f>24000</f>
        <v>24000</v>
      </c>
      <c r="D46" s="13" t="s">
        <v>13</v>
      </c>
      <c r="E46" s="23">
        <v>39842</v>
      </c>
      <c r="F46" s="23">
        <v>40201</v>
      </c>
    </row>
    <row r="47" spans="1:6" s="10" customFormat="1" ht="22.5">
      <c r="A47" s="11">
        <v>20189376</v>
      </c>
      <c r="B47" s="12" t="s">
        <v>49</v>
      </c>
      <c r="C47" s="26">
        <f>13352</f>
        <v>13352</v>
      </c>
      <c r="D47" s="13" t="s">
        <v>13</v>
      </c>
      <c r="E47" s="23">
        <v>39753</v>
      </c>
      <c r="F47" s="23">
        <v>40269</v>
      </c>
    </row>
    <row r="48" spans="1:6" s="10" customFormat="1" ht="15">
      <c r="A48" s="14">
        <v>30002017</v>
      </c>
      <c r="B48" s="15" t="s">
        <v>50</v>
      </c>
      <c r="C48" s="26">
        <f>144452</f>
        <v>144452</v>
      </c>
      <c r="D48" s="13"/>
      <c r="E48" s="23"/>
      <c r="F48" s="23"/>
    </row>
    <row r="49" spans="1:6" s="10" customFormat="1" ht="15">
      <c r="A49" s="16">
        <v>30004792</v>
      </c>
      <c r="B49" s="7" t="s">
        <v>51</v>
      </c>
      <c r="C49" s="26">
        <f>1</f>
        <v>1</v>
      </c>
      <c r="D49" s="13"/>
      <c r="E49" s="23"/>
      <c r="F49" s="23"/>
    </row>
    <row r="50" spans="1:6" s="10" customFormat="1" ht="15">
      <c r="A50" s="16">
        <v>30005570</v>
      </c>
      <c r="B50" s="7" t="s">
        <v>52</v>
      </c>
      <c r="C50" s="26">
        <f>20000</f>
        <v>20000</v>
      </c>
      <c r="D50" s="13"/>
      <c r="E50" s="23"/>
      <c r="F50" s="23"/>
    </row>
    <row r="51" spans="1:6" s="10" customFormat="1" ht="15">
      <c r="A51" s="16">
        <v>30005716</v>
      </c>
      <c r="B51" s="7" t="s">
        <v>53</v>
      </c>
      <c r="C51" s="26">
        <f>444682</f>
        <v>444682</v>
      </c>
      <c r="D51" s="13"/>
      <c r="E51" s="23"/>
      <c r="F51" s="23"/>
    </row>
    <row r="52" spans="1:6" s="10" customFormat="1" ht="15">
      <c r="A52" s="11">
        <v>30029566</v>
      </c>
      <c r="B52" s="12" t="s">
        <v>54</v>
      </c>
      <c r="C52" s="26">
        <f>667976+2000</f>
        <v>669976</v>
      </c>
      <c r="D52" s="13"/>
      <c r="E52" s="23"/>
      <c r="F52" s="23"/>
    </row>
    <row r="53" spans="1:6" s="10" customFormat="1" ht="15">
      <c r="A53" s="11">
        <v>30030194</v>
      </c>
      <c r="B53" s="12" t="s">
        <v>55</v>
      </c>
      <c r="C53" s="26">
        <f>31821</f>
        <v>31821</v>
      </c>
      <c r="D53" s="13" t="s">
        <v>13</v>
      </c>
      <c r="E53" s="23">
        <v>40138</v>
      </c>
      <c r="F53" s="23">
        <v>40363</v>
      </c>
    </row>
    <row r="54" spans="1:6" s="10" customFormat="1" ht="15">
      <c r="A54" s="11">
        <v>30031433</v>
      </c>
      <c r="B54" s="12" t="s">
        <v>56</v>
      </c>
      <c r="C54" s="26">
        <f>1100</f>
        <v>1100</v>
      </c>
      <c r="D54" s="13" t="s">
        <v>13</v>
      </c>
      <c r="E54" s="23">
        <v>40087</v>
      </c>
      <c r="F54" s="23">
        <v>40269</v>
      </c>
    </row>
    <row r="55" spans="1:6" s="10" customFormat="1" ht="15">
      <c r="A55" s="11">
        <v>30034362</v>
      </c>
      <c r="B55" s="12" t="s">
        <v>57</v>
      </c>
      <c r="C55" s="26">
        <f>18755</f>
        <v>18755</v>
      </c>
      <c r="D55" s="13" t="s">
        <v>13</v>
      </c>
      <c r="E55" s="23">
        <v>40045</v>
      </c>
      <c r="F55" s="23">
        <v>40317</v>
      </c>
    </row>
    <row r="56" spans="1:6" s="10" customFormat="1" ht="15">
      <c r="A56" s="16">
        <v>30034372</v>
      </c>
      <c r="B56" s="7" t="s">
        <v>58</v>
      </c>
      <c r="C56" s="26">
        <f>278579-1732</f>
        <v>276847</v>
      </c>
      <c r="D56" s="13"/>
      <c r="E56" s="23"/>
      <c r="F56" s="23"/>
    </row>
    <row r="57" spans="1:6" s="10" customFormat="1" ht="15">
      <c r="A57" s="11">
        <v>30034664</v>
      </c>
      <c r="B57" s="12" t="s">
        <v>59</v>
      </c>
      <c r="C57" s="26">
        <f>110000</f>
        <v>110000</v>
      </c>
      <c r="D57" s="13" t="s">
        <v>13</v>
      </c>
      <c r="E57" s="23">
        <v>40228</v>
      </c>
      <c r="F57" s="23">
        <v>40468</v>
      </c>
    </row>
    <row r="58" spans="1:6" s="10" customFormat="1" ht="15">
      <c r="A58" s="11">
        <v>30035025</v>
      </c>
      <c r="B58" s="12" t="s">
        <v>60</v>
      </c>
      <c r="C58" s="26">
        <f>108752</f>
        <v>108752</v>
      </c>
      <c r="D58" s="8" t="s">
        <v>47</v>
      </c>
      <c r="E58" s="23"/>
      <c r="F58" s="23"/>
    </row>
    <row r="59" spans="1:6" s="10" customFormat="1" ht="15">
      <c r="A59" s="14">
        <v>30035042</v>
      </c>
      <c r="B59" s="12" t="s">
        <v>61</v>
      </c>
      <c r="C59" s="26">
        <f>1775-682</f>
        <v>1093</v>
      </c>
      <c r="D59" s="13" t="s">
        <v>13</v>
      </c>
      <c r="E59" s="23">
        <v>39630</v>
      </c>
      <c r="F59" s="23">
        <v>40269</v>
      </c>
    </row>
    <row r="60" spans="1:6" s="10" customFormat="1" ht="22.5">
      <c r="A60" s="16">
        <v>30035161</v>
      </c>
      <c r="B60" s="7" t="s">
        <v>62</v>
      </c>
      <c r="C60" s="26">
        <f>320506</f>
        <v>320506</v>
      </c>
      <c r="D60" s="13"/>
      <c r="E60" s="23"/>
      <c r="F60" s="23"/>
    </row>
    <row r="61" spans="1:6" s="10" customFormat="1" ht="15">
      <c r="A61" s="11">
        <v>30035171</v>
      </c>
      <c r="B61" s="12" t="s">
        <v>63</v>
      </c>
      <c r="C61" s="26">
        <f>508002</f>
        <v>508002</v>
      </c>
      <c r="D61" s="13" t="s">
        <v>13</v>
      </c>
      <c r="E61" s="23">
        <v>40128</v>
      </c>
      <c r="F61" s="23">
        <v>40578</v>
      </c>
    </row>
    <row r="62" spans="1:6" s="10" customFormat="1" ht="15">
      <c r="A62" s="16">
        <v>30035518</v>
      </c>
      <c r="B62" s="7" t="s">
        <v>64</v>
      </c>
      <c r="C62" s="26">
        <f>101125</f>
        <v>101125</v>
      </c>
      <c r="D62" s="13"/>
      <c r="E62" s="23"/>
      <c r="F62" s="23"/>
    </row>
    <row r="63" spans="1:6" s="10" customFormat="1" ht="15">
      <c r="A63" s="16">
        <v>30035687</v>
      </c>
      <c r="B63" s="7" t="s">
        <v>65</v>
      </c>
      <c r="C63" s="26">
        <f>47002</f>
        <v>47002</v>
      </c>
      <c r="D63" s="13" t="s">
        <v>13</v>
      </c>
      <c r="E63" s="23">
        <v>40053</v>
      </c>
      <c r="F63" s="23">
        <v>40233</v>
      </c>
    </row>
    <row r="64" spans="1:6" s="10" customFormat="1" ht="15">
      <c r="A64" s="11">
        <v>30036280</v>
      </c>
      <c r="B64" s="12" t="s">
        <v>66</v>
      </c>
      <c r="C64" s="26">
        <f>21065</f>
        <v>21065</v>
      </c>
      <c r="D64" s="13" t="s">
        <v>13</v>
      </c>
      <c r="E64" s="23">
        <v>39896</v>
      </c>
      <c r="F64" s="23">
        <v>40208</v>
      </c>
    </row>
    <row r="65" spans="1:6" s="10" customFormat="1" ht="15">
      <c r="A65" s="11">
        <v>30036332</v>
      </c>
      <c r="B65" s="12" t="s">
        <v>67</v>
      </c>
      <c r="C65" s="26">
        <f>55753+4197</f>
        <v>59950</v>
      </c>
      <c r="D65" s="13" t="s">
        <v>13</v>
      </c>
      <c r="E65" s="23">
        <v>40182</v>
      </c>
      <c r="F65" s="23">
        <v>40282</v>
      </c>
    </row>
    <row r="66" spans="1:6" s="10" customFormat="1" ht="15">
      <c r="A66" s="11">
        <v>30036610</v>
      </c>
      <c r="B66" s="12" t="s">
        <v>68</v>
      </c>
      <c r="C66" s="26">
        <f>58500</f>
        <v>58500</v>
      </c>
      <c r="D66" s="13" t="s">
        <v>13</v>
      </c>
      <c r="E66" s="23">
        <v>40093</v>
      </c>
      <c r="F66" s="23">
        <v>40393</v>
      </c>
    </row>
    <row r="67" spans="1:6" s="10" customFormat="1" ht="15">
      <c r="A67" s="11">
        <v>30036895</v>
      </c>
      <c r="B67" s="12" t="s">
        <v>69</v>
      </c>
      <c r="C67" s="26">
        <f>143629</f>
        <v>143629</v>
      </c>
      <c r="D67" s="13" t="s">
        <v>13</v>
      </c>
      <c r="E67" s="23">
        <v>39620</v>
      </c>
      <c r="F67" s="23">
        <v>39985</v>
      </c>
    </row>
    <row r="68" spans="1:6" s="10" customFormat="1" ht="15">
      <c r="A68" s="11">
        <v>30037039</v>
      </c>
      <c r="B68" s="12" t="s">
        <v>70</v>
      </c>
      <c r="C68" s="26">
        <f>428470</f>
        <v>428470</v>
      </c>
      <c r="D68" s="13" t="s">
        <v>13</v>
      </c>
      <c r="E68" s="23">
        <v>40078</v>
      </c>
      <c r="F68" s="23">
        <v>40288</v>
      </c>
    </row>
    <row r="69" spans="1:6" s="10" customFormat="1" ht="15">
      <c r="A69" s="11">
        <v>30037502</v>
      </c>
      <c r="B69" s="12" t="s">
        <v>71</v>
      </c>
      <c r="C69" s="26">
        <f>15884</f>
        <v>15884</v>
      </c>
      <c r="D69" s="13" t="s">
        <v>13</v>
      </c>
      <c r="E69" s="23">
        <v>39896</v>
      </c>
      <c r="F69" s="23">
        <v>40321</v>
      </c>
    </row>
    <row r="70" spans="1:6" s="10" customFormat="1" ht="15">
      <c r="A70" s="11">
        <v>30037546</v>
      </c>
      <c r="B70" s="12" t="s">
        <v>72</v>
      </c>
      <c r="C70" s="26">
        <f>83372</f>
        <v>83372</v>
      </c>
      <c r="D70" s="13" t="s">
        <v>13</v>
      </c>
      <c r="E70" s="23">
        <v>39857</v>
      </c>
      <c r="F70" s="23">
        <v>39997</v>
      </c>
    </row>
    <row r="71" spans="1:6" s="10" customFormat="1" ht="15">
      <c r="A71" s="11">
        <v>30037750</v>
      </c>
      <c r="B71" s="12" t="s">
        <v>73</v>
      </c>
      <c r="C71" s="26">
        <f>158739</f>
        <v>158739</v>
      </c>
      <c r="D71" s="13" t="s">
        <v>13</v>
      </c>
      <c r="E71" s="23">
        <v>40108</v>
      </c>
      <c r="F71" s="23">
        <v>40258</v>
      </c>
    </row>
    <row r="72" spans="1:6" s="10" customFormat="1" ht="15">
      <c r="A72" s="16">
        <v>30038102</v>
      </c>
      <c r="B72" s="7" t="s">
        <v>74</v>
      </c>
      <c r="C72" s="26">
        <f>9125</f>
        <v>9125</v>
      </c>
      <c r="D72" s="13" t="s">
        <v>13</v>
      </c>
      <c r="E72" s="23">
        <v>39942</v>
      </c>
      <c r="F72" s="23">
        <v>40254</v>
      </c>
    </row>
    <row r="73" spans="1:6" s="10" customFormat="1" ht="15">
      <c r="A73" s="16">
        <v>30038117</v>
      </c>
      <c r="B73" s="7" t="s">
        <v>75</v>
      </c>
      <c r="C73" s="26">
        <f>20035</f>
        <v>20035</v>
      </c>
      <c r="D73" s="13" t="s">
        <v>13</v>
      </c>
      <c r="E73" s="23">
        <v>39548</v>
      </c>
      <c r="F73" s="23"/>
    </row>
    <row r="74" spans="1:6" s="10" customFormat="1" ht="15">
      <c r="A74" s="11">
        <v>30039913</v>
      </c>
      <c r="B74" s="12" t="s">
        <v>76</v>
      </c>
      <c r="C74" s="26">
        <f>106639</f>
        <v>106639</v>
      </c>
      <c r="D74" s="13" t="s">
        <v>13</v>
      </c>
      <c r="E74" s="23">
        <v>39994</v>
      </c>
      <c r="F74" s="23">
        <v>40232</v>
      </c>
    </row>
    <row r="75" spans="1:6" s="10" customFormat="1" ht="15">
      <c r="A75" s="11">
        <v>30040294</v>
      </c>
      <c r="B75" s="12" t="s">
        <v>77</v>
      </c>
      <c r="C75" s="26">
        <f>95623</f>
        <v>95623</v>
      </c>
      <c r="D75" s="13" t="s">
        <v>13</v>
      </c>
      <c r="E75" s="23">
        <v>40121</v>
      </c>
      <c r="F75" s="23">
        <v>40301</v>
      </c>
    </row>
    <row r="76" spans="1:6" s="10" customFormat="1" ht="15">
      <c r="A76" s="16">
        <v>30040414</v>
      </c>
      <c r="B76" s="7" t="s">
        <v>78</v>
      </c>
      <c r="C76" s="26">
        <f>6600</f>
        <v>6600</v>
      </c>
      <c r="D76" s="13" t="s">
        <v>13</v>
      </c>
      <c r="E76" s="23">
        <v>39666</v>
      </c>
      <c r="F76" s="23">
        <v>39891</v>
      </c>
    </row>
    <row r="77" spans="1:6" s="10" customFormat="1" ht="15">
      <c r="A77" s="16">
        <v>30040835</v>
      </c>
      <c r="B77" s="7" t="s">
        <v>79</v>
      </c>
      <c r="C77" s="26">
        <f>105500</f>
        <v>105500</v>
      </c>
      <c r="D77" s="13"/>
      <c r="E77" s="23"/>
      <c r="F77" s="23"/>
    </row>
    <row r="78" spans="1:6" s="10" customFormat="1" ht="15">
      <c r="A78" s="16">
        <v>30041141</v>
      </c>
      <c r="B78" s="7" t="s">
        <v>80</v>
      </c>
      <c r="C78" s="26">
        <f>33268</f>
        <v>33268</v>
      </c>
      <c r="D78" s="13" t="s">
        <v>13</v>
      </c>
      <c r="E78" s="23">
        <v>39672</v>
      </c>
      <c r="F78" s="23">
        <v>40208</v>
      </c>
    </row>
    <row r="79" spans="1:6" s="10" customFormat="1" ht="15">
      <c r="A79" s="11">
        <v>30042754</v>
      </c>
      <c r="B79" s="12" t="s">
        <v>81</v>
      </c>
      <c r="C79" s="26">
        <f>31831</f>
        <v>31831</v>
      </c>
      <c r="D79" s="13" t="s">
        <v>13</v>
      </c>
      <c r="E79" s="23">
        <v>40138</v>
      </c>
      <c r="F79" s="23">
        <v>40363</v>
      </c>
    </row>
    <row r="80" spans="1:6" s="10" customFormat="1" ht="15">
      <c r="A80" s="11">
        <v>30043579</v>
      </c>
      <c r="B80" s="12" t="s">
        <v>82</v>
      </c>
      <c r="C80" s="26">
        <f>34177+8</f>
        <v>34185</v>
      </c>
      <c r="D80" s="13" t="s">
        <v>13</v>
      </c>
      <c r="E80" s="23">
        <v>40057</v>
      </c>
      <c r="F80" s="23">
        <v>40299</v>
      </c>
    </row>
    <row r="81" spans="1:6" s="10" customFormat="1" ht="15">
      <c r="A81" s="11">
        <v>30043957</v>
      </c>
      <c r="B81" s="12" t="s">
        <v>83</v>
      </c>
      <c r="C81" s="26">
        <f>1540</f>
        <v>1540</v>
      </c>
      <c r="D81" s="13"/>
      <c r="E81" s="23"/>
      <c r="F81" s="23"/>
    </row>
    <row r="82" spans="1:6" s="10" customFormat="1" ht="15">
      <c r="A82" s="14">
        <v>30044150</v>
      </c>
      <c r="B82" s="12" t="s">
        <v>84</v>
      </c>
      <c r="C82" s="26">
        <f>11003+0</f>
        <v>11003</v>
      </c>
      <c r="D82" s="13" t="s">
        <v>13</v>
      </c>
      <c r="E82" s="23">
        <v>39630</v>
      </c>
      <c r="F82" s="23">
        <v>40269</v>
      </c>
    </row>
    <row r="83" spans="1:6" s="10" customFormat="1" ht="15">
      <c r="A83" s="11">
        <v>30044355</v>
      </c>
      <c r="B83" s="12" t="s">
        <v>85</v>
      </c>
      <c r="C83" s="26">
        <f>15044</f>
        <v>15044</v>
      </c>
      <c r="D83" s="13" t="s">
        <v>13</v>
      </c>
      <c r="E83" s="23">
        <v>40143</v>
      </c>
      <c r="F83" s="23" t="s">
        <v>86</v>
      </c>
    </row>
    <row r="84" spans="1:6" s="10" customFormat="1" ht="15">
      <c r="A84" s="16">
        <v>30044443</v>
      </c>
      <c r="B84" s="7" t="s">
        <v>87</v>
      </c>
      <c r="C84" s="26">
        <f>420129</f>
        <v>420129</v>
      </c>
      <c r="D84" s="13"/>
      <c r="E84" s="23"/>
      <c r="F84" s="23"/>
    </row>
    <row r="85" spans="1:6" s="10" customFormat="1" ht="15">
      <c r="A85" s="16">
        <v>30045039</v>
      </c>
      <c r="B85" s="7" t="s">
        <v>88</v>
      </c>
      <c r="C85" s="26">
        <f>4999</f>
        <v>4999</v>
      </c>
      <c r="D85" s="13" t="s">
        <v>13</v>
      </c>
      <c r="E85" s="23">
        <v>40178</v>
      </c>
      <c r="F85" s="23">
        <v>40297</v>
      </c>
    </row>
    <row r="86" spans="1:6" s="10" customFormat="1" ht="15">
      <c r="A86" s="16">
        <v>30045256</v>
      </c>
      <c r="B86" s="7" t="s">
        <v>89</v>
      </c>
      <c r="C86" s="26">
        <f>10535</f>
        <v>10535</v>
      </c>
      <c r="D86" s="8" t="s">
        <v>9</v>
      </c>
      <c r="E86" s="23"/>
      <c r="F86" s="23"/>
    </row>
    <row r="87" spans="1:6" s="10" customFormat="1" ht="15">
      <c r="A87" s="11">
        <v>30045368</v>
      </c>
      <c r="B87" s="12" t="s">
        <v>90</v>
      </c>
      <c r="C87" s="26">
        <f>10065</f>
        <v>10065</v>
      </c>
      <c r="D87" s="13" t="s">
        <v>13</v>
      </c>
      <c r="E87" s="23">
        <v>39896</v>
      </c>
      <c r="F87" s="23">
        <v>40321</v>
      </c>
    </row>
    <row r="88" spans="1:6" s="10" customFormat="1" ht="15">
      <c r="A88" s="16">
        <v>30045387</v>
      </c>
      <c r="B88" s="7" t="s">
        <v>91</v>
      </c>
      <c r="C88" s="26">
        <f>7737</f>
        <v>7737</v>
      </c>
      <c r="D88" s="13" t="s">
        <v>13</v>
      </c>
      <c r="E88" s="23">
        <v>39680</v>
      </c>
      <c r="F88" s="23">
        <v>40198</v>
      </c>
    </row>
    <row r="89" spans="1:6" s="10" customFormat="1" ht="15">
      <c r="A89" s="16">
        <v>30045422</v>
      </c>
      <c r="B89" s="7" t="s">
        <v>92</v>
      </c>
      <c r="C89" s="26">
        <f>7737</f>
        <v>7737</v>
      </c>
      <c r="D89" s="13" t="s">
        <v>13</v>
      </c>
      <c r="E89" s="23">
        <v>39680</v>
      </c>
      <c r="F89" s="23">
        <v>40198</v>
      </c>
    </row>
    <row r="90" spans="1:6" s="10" customFormat="1" ht="15">
      <c r="A90" s="16">
        <v>30045429</v>
      </c>
      <c r="B90" s="7" t="s">
        <v>93</v>
      </c>
      <c r="C90" s="26">
        <f>36752</f>
        <v>36752</v>
      </c>
      <c r="D90" s="13" t="s">
        <v>13</v>
      </c>
      <c r="E90" s="23">
        <v>39672</v>
      </c>
      <c r="F90" s="23">
        <v>40208</v>
      </c>
    </row>
    <row r="91" spans="1:6" s="10" customFormat="1" ht="15">
      <c r="A91" s="16">
        <v>30045538</v>
      </c>
      <c r="B91" s="7" t="s">
        <v>94</v>
      </c>
      <c r="C91" s="26">
        <f>7737</f>
        <v>7737</v>
      </c>
      <c r="D91" s="13" t="s">
        <v>13</v>
      </c>
      <c r="E91" s="23">
        <v>39680</v>
      </c>
      <c r="F91" s="23">
        <v>40198</v>
      </c>
    </row>
    <row r="92" spans="1:6" s="10" customFormat="1" ht="15">
      <c r="A92" s="11">
        <v>30045734</v>
      </c>
      <c r="B92" s="12" t="s">
        <v>95</v>
      </c>
      <c r="C92" s="26">
        <f>40001+17871</f>
        <v>57872</v>
      </c>
      <c r="D92" s="13" t="s">
        <v>13</v>
      </c>
      <c r="E92" s="23">
        <v>39881</v>
      </c>
      <c r="F92" s="23">
        <v>40241</v>
      </c>
    </row>
    <row r="93" spans="1:6" s="10" customFormat="1" ht="15">
      <c r="A93" s="16">
        <v>30046256</v>
      </c>
      <c r="B93" s="7" t="s">
        <v>96</v>
      </c>
      <c r="C93" s="26">
        <f>69017</f>
        <v>69017</v>
      </c>
      <c r="D93" s="13" t="s">
        <v>13</v>
      </c>
      <c r="E93" s="23">
        <v>39577</v>
      </c>
      <c r="F93" s="23">
        <v>40025</v>
      </c>
    </row>
    <row r="94" spans="1:6" s="10" customFormat="1" ht="15">
      <c r="A94" s="16">
        <v>30046671</v>
      </c>
      <c r="B94" s="7" t="s">
        <v>97</v>
      </c>
      <c r="C94" s="26">
        <f>10070</f>
        <v>10070</v>
      </c>
      <c r="D94" s="13" t="s">
        <v>13</v>
      </c>
      <c r="E94" s="23">
        <v>40084</v>
      </c>
      <c r="F94" s="23">
        <v>40262</v>
      </c>
    </row>
    <row r="95" spans="1:6" s="10" customFormat="1" ht="15">
      <c r="A95" s="11">
        <v>30057825</v>
      </c>
      <c r="B95" s="12" t="s">
        <v>98</v>
      </c>
      <c r="C95" s="26">
        <f>248</f>
        <v>248</v>
      </c>
      <c r="D95" s="8"/>
      <c r="E95" s="23"/>
      <c r="F95" s="23"/>
    </row>
    <row r="96" spans="1:6" s="10" customFormat="1" ht="15">
      <c r="A96" s="11">
        <v>30057851</v>
      </c>
      <c r="B96" s="12" t="s">
        <v>99</v>
      </c>
      <c r="C96" s="26">
        <f>2050</f>
        <v>2050</v>
      </c>
      <c r="D96" s="13" t="s">
        <v>13</v>
      </c>
      <c r="E96" s="23">
        <v>39781</v>
      </c>
      <c r="F96" s="23">
        <v>39976</v>
      </c>
    </row>
    <row r="97" spans="1:6" s="10" customFormat="1" ht="15">
      <c r="A97" s="11">
        <v>30057853</v>
      </c>
      <c r="B97" s="12" t="s">
        <v>100</v>
      </c>
      <c r="C97" s="26">
        <f>2064</f>
        <v>2064</v>
      </c>
      <c r="D97" s="13" t="s">
        <v>13</v>
      </c>
      <c r="E97" s="23">
        <v>39781</v>
      </c>
      <c r="F97" s="23">
        <v>39976</v>
      </c>
    </row>
    <row r="98" spans="1:6" s="10" customFormat="1" ht="15">
      <c r="A98" s="11">
        <v>30057864</v>
      </c>
      <c r="B98" s="12" t="s">
        <v>101</v>
      </c>
      <c r="C98" s="26">
        <f>14000</f>
        <v>14000</v>
      </c>
      <c r="D98" s="13" t="s">
        <v>13</v>
      </c>
      <c r="E98" s="23">
        <v>40101</v>
      </c>
      <c r="F98" s="23">
        <v>40296</v>
      </c>
    </row>
    <row r="99" spans="1:6" s="10" customFormat="1" ht="15">
      <c r="A99" s="11">
        <v>30057931</v>
      </c>
      <c r="B99" s="12" t="s">
        <v>102</v>
      </c>
      <c r="C99" s="26">
        <f>45100</f>
        <v>45100</v>
      </c>
      <c r="D99" s="8" t="s">
        <v>7</v>
      </c>
      <c r="E99" s="23"/>
      <c r="F99" s="23"/>
    </row>
    <row r="100" spans="1:6" s="10" customFormat="1" ht="15">
      <c r="A100" s="11">
        <v>30057956</v>
      </c>
      <c r="B100" s="12" t="s">
        <v>103</v>
      </c>
      <c r="C100" s="26">
        <f>16704</f>
        <v>16704</v>
      </c>
      <c r="D100" s="13" t="s">
        <v>13</v>
      </c>
      <c r="E100" s="23">
        <v>40101</v>
      </c>
      <c r="F100" s="23">
        <v>40296</v>
      </c>
    </row>
    <row r="101" spans="1:6" s="10" customFormat="1" ht="15">
      <c r="A101" s="11">
        <v>30060260</v>
      </c>
      <c r="B101" s="12" t="s">
        <v>104</v>
      </c>
      <c r="C101" s="26">
        <f>9959</f>
        <v>9959</v>
      </c>
      <c r="D101" s="13" t="s">
        <v>13</v>
      </c>
      <c r="E101" s="23">
        <v>39896</v>
      </c>
      <c r="F101" s="23">
        <v>39956</v>
      </c>
    </row>
    <row r="102" spans="1:6" s="10" customFormat="1" ht="15">
      <c r="A102" s="11">
        <v>30060796</v>
      </c>
      <c r="B102" s="12" t="s">
        <v>105</v>
      </c>
      <c r="C102" s="26">
        <f>10535</f>
        <v>10535</v>
      </c>
      <c r="D102" s="8" t="s">
        <v>9</v>
      </c>
      <c r="E102" s="23"/>
      <c r="F102" s="23"/>
    </row>
    <row r="103" spans="1:6" s="10" customFormat="1" ht="15">
      <c r="A103" s="11">
        <v>30061702</v>
      </c>
      <c r="B103" s="12" t="s">
        <v>106</v>
      </c>
      <c r="C103" s="26">
        <f>68650</f>
        <v>68650</v>
      </c>
      <c r="D103" s="13" t="s">
        <v>13</v>
      </c>
      <c r="E103" s="23">
        <v>40145</v>
      </c>
      <c r="F103" s="23">
        <v>40445</v>
      </c>
    </row>
    <row r="104" spans="1:6" s="10" customFormat="1" ht="15">
      <c r="A104" s="11">
        <v>30061909</v>
      </c>
      <c r="B104" s="12" t="s">
        <v>107</v>
      </c>
      <c r="C104" s="25">
        <f>153946</f>
        <v>153946</v>
      </c>
      <c r="D104" s="13" t="s">
        <v>13</v>
      </c>
      <c r="E104" s="23">
        <v>40154</v>
      </c>
      <c r="F104" s="23">
        <v>40272</v>
      </c>
    </row>
    <row r="105" spans="1:6" s="10" customFormat="1" ht="15">
      <c r="A105" s="6">
        <v>30061922</v>
      </c>
      <c r="B105" s="7" t="s">
        <v>108</v>
      </c>
      <c r="C105" s="25">
        <f>15623-2400</f>
        <v>13223</v>
      </c>
      <c r="D105" s="13" t="s">
        <v>13</v>
      </c>
      <c r="E105" s="23">
        <v>39859</v>
      </c>
      <c r="F105" s="23">
        <v>40177</v>
      </c>
    </row>
    <row r="106" spans="1:6" s="10" customFormat="1" ht="15">
      <c r="A106" s="11">
        <v>30062161</v>
      </c>
      <c r="B106" s="12" t="s">
        <v>109</v>
      </c>
      <c r="C106" s="26">
        <f>1246-1246</f>
        <v>0</v>
      </c>
      <c r="D106" s="13" t="s">
        <v>13</v>
      </c>
      <c r="E106" s="23">
        <v>40026</v>
      </c>
      <c r="F106" s="23">
        <v>40238</v>
      </c>
    </row>
    <row r="107" spans="1:6" s="10" customFormat="1" ht="15">
      <c r="A107" s="11">
        <v>30062211</v>
      </c>
      <c r="B107" s="12" t="s">
        <v>110</v>
      </c>
      <c r="C107" s="26">
        <f>17249</f>
        <v>17249</v>
      </c>
      <c r="D107" s="13" t="s">
        <v>13</v>
      </c>
      <c r="E107" s="23">
        <v>39686</v>
      </c>
      <c r="F107" s="23">
        <v>40178</v>
      </c>
    </row>
    <row r="108" spans="1:6" s="10" customFormat="1" ht="15">
      <c r="A108" s="11">
        <v>30062507</v>
      </c>
      <c r="B108" s="12" t="s">
        <v>111</v>
      </c>
      <c r="C108" s="26">
        <f>404561</f>
        <v>404561</v>
      </c>
      <c r="D108" s="13" t="s">
        <v>13</v>
      </c>
      <c r="E108" s="23">
        <v>40141</v>
      </c>
      <c r="F108" s="23">
        <v>40380</v>
      </c>
    </row>
    <row r="109" spans="1:6" s="10" customFormat="1" ht="15">
      <c r="A109" s="11">
        <v>30063090</v>
      </c>
      <c r="B109" s="15" t="s">
        <v>112</v>
      </c>
      <c r="C109" s="26">
        <f>5999</f>
        <v>5999</v>
      </c>
      <c r="D109" s="8" t="s">
        <v>9</v>
      </c>
      <c r="E109" s="23"/>
      <c r="F109" s="23"/>
    </row>
    <row r="110" spans="1:6" s="10" customFormat="1" ht="15">
      <c r="A110" s="11">
        <v>30063145</v>
      </c>
      <c r="B110" s="12" t="s">
        <v>113</v>
      </c>
      <c r="C110" s="26">
        <f>310281+300000</f>
        <v>610281</v>
      </c>
      <c r="D110" s="13" t="s">
        <v>13</v>
      </c>
      <c r="E110" s="23">
        <v>40172</v>
      </c>
      <c r="F110" s="23">
        <v>40532</v>
      </c>
    </row>
    <row r="111" spans="1:6" s="10" customFormat="1" ht="15">
      <c r="A111" s="11">
        <v>30063707</v>
      </c>
      <c r="B111" s="12" t="s">
        <v>114</v>
      </c>
      <c r="C111" s="26">
        <f>5700</f>
        <v>5700</v>
      </c>
      <c r="D111" s="13" t="s">
        <v>13</v>
      </c>
      <c r="E111" s="23">
        <v>40003</v>
      </c>
      <c r="F111" s="23">
        <v>40162</v>
      </c>
    </row>
    <row r="112" spans="1:6" s="10" customFormat="1" ht="15">
      <c r="A112" s="11">
        <v>30064069</v>
      </c>
      <c r="B112" s="19" t="s">
        <v>115</v>
      </c>
      <c r="C112" s="25">
        <f>31404</f>
        <v>31404</v>
      </c>
      <c r="D112" s="13" t="s">
        <v>13</v>
      </c>
      <c r="E112" s="23">
        <v>40130</v>
      </c>
      <c r="F112" s="23">
        <v>40252</v>
      </c>
    </row>
    <row r="113" spans="1:6" s="10" customFormat="1" ht="15">
      <c r="A113" s="11">
        <v>30064123</v>
      </c>
      <c r="B113" s="12" t="s">
        <v>116</v>
      </c>
      <c r="C113" s="25">
        <f>28002</f>
        <v>28002</v>
      </c>
      <c r="D113" s="13"/>
      <c r="E113" s="23"/>
      <c r="F113" s="23"/>
    </row>
    <row r="114" spans="1:6" s="10" customFormat="1" ht="15">
      <c r="A114" s="11">
        <v>30064141</v>
      </c>
      <c r="B114" s="12" t="s">
        <v>117</v>
      </c>
      <c r="C114" s="25">
        <f>43800</f>
        <v>43800</v>
      </c>
      <c r="D114" s="13" t="s">
        <v>13</v>
      </c>
      <c r="E114" s="23">
        <v>40130</v>
      </c>
      <c r="F114" s="23">
        <v>40252</v>
      </c>
    </row>
    <row r="115" spans="1:6" s="10" customFormat="1" ht="15">
      <c r="A115" s="14">
        <v>30064605</v>
      </c>
      <c r="B115" s="7" t="s">
        <v>118</v>
      </c>
      <c r="C115" s="26">
        <f>264135</f>
        <v>264135</v>
      </c>
      <c r="D115" s="13" t="s">
        <v>13</v>
      </c>
      <c r="E115" s="23">
        <v>40177</v>
      </c>
      <c r="F115" s="23">
        <v>40387</v>
      </c>
    </row>
    <row r="116" spans="1:6" s="10" customFormat="1" ht="15">
      <c r="A116" s="11">
        <v>30064633</v>
      </c>
      <c r="B116" s="12" t="s">
        <v>119</v>
      </c>
      <c r="C116" s="26">
        <f>200000</f>
        <v>200000</v>
      </c>
      <c r="D116" s="13" t="s">
        <v>13</v>
      </c>
      <c r="E116" s="23">
        <v>40156</v>
      </c>
      <c r="F116" s="23">
        <v>40396</v>
      </c>
    </row>
    <row r="117" spans="1:6" s="10" customFormat="1" ht="15">
      <c r="A117" s="11">
        <v>30064870</v>
      </c>
      <c r="B117" s="12" t="s">
        <v>120</v>
      </c>
      <c r="C117" s="26">
        <f>10080</f>
        <v>10080</v>
      </c>
      <c r="D117" s="13" t="s">
        <v>13</v>
      </c>
      <c r="E117" s="23">
        <v>39630</v>
      </c>
      <c r="F117" s="23">
        <v>40299</v>
      </c>
    </row>
    <row r="118" spans="1:6" s="10" customFormat="1" ht="15">
      <c r="A118" s="11">
        <v>30064908</v>
      </c>
      <c r="B118" s="12" t="s">
        <v>121</v>
      </c>
      <c r="C118" s="26">
        <f>9680</f>
        <v>9680</v>
      </c>
      <c r="D118" s="13" t="s">
        <v>13</v>
      </c>
      <c r="E118" s="23">
        <v>39896</v>
      </c>
      <c r="F118" s="23">
        <v>40208</v>
      </c>
    </row>
    <row r="119" spans="1:6" s="10" customFormat="1" ht="15">
      <c r="A119" s="16">
        <v>30064913</v>
      </c>
      <c r="B119" s="7" t="s">
        <v>122</v>
      </c>
      <c r="C119" s="26">
        <f>307502</f>
        <v>307502</v>
      </c>
      <c r="D119" s="8" t="s">
        <v>47</v>
      </c>
      <c r="E119" s="23"/>
      <c r="F119" s="23"/>
    </row>
    <row r="120" spans="1:6" s="10" customFormat="1" ht="15">
      <c r="A120" s="16">
        <v>30065345</v>
      </c>
      <c r="B120" s="7" t="s">
        <v>123</v>
      </c>
      <c r="C120" s="26">
        <f>10200</f>
        <v>10200</v>
      </c>
      <c r="D120" s="13" t="s">
        <v>13</v>
      </c>
      <c r="E120" s="23">
        <v>39548</v>
      </c>
      <c r="F120" s="23"/>
    </row>
    <row r="121" spans="1:6" s="10" customFormat="1" ht="15">
      <c r="A121" s="11">
        <v>30065529</v>
      </c>
      <c r="B121" s="12" t="s">
        <v>124</v>
      </c>
      <c r="C121" s="26">
        <f>241</f>
        <v>241</v>
      </c>
      <c r="D121" s="13"/>
      <c r="E121" s="23"/>
      <c r="F121" s="23"/>
    </row>
    <row r="122" spans="1:6" s="10" customFormat="1" ht="15">
      <c r="A122" s="11">
        <v>30065535</v>
      </c>
      <c r="B122" s="12" t="s">
        <v>125</v>
      </c>
      <c r="C122" s="26">
        <f>4671</f>
        <v>4671</v>
      </c>
      <c r="D122" s="13" t="s">
        <v>13</v>
      </c>
      <c r="E122" s="23">
        <v>39965</v>
      </c>
      <c r="F122" s="23">
        <v>40238</v>
      </c>
    </row>
    <row r="123" spans="1:6" s="10" customFormat="1" ht="15">
      <c r="A123" s="11">
        <v>30066249</v>
      </c>
      <c r="B123" s="12" t="s">
        <v>126</v>
      </c>
      <c r="C123" s="26">
        <f>107702</f>
        <v>107702</v>
      </c>
      <c r="D123" s="8" t="s">
        <v>9</v>
      </c>
      <c r="E123" s="23"/>
      <c r="F123" s="23"/>
    </row>
    <row r="124" spans="1:6" s="10" customFormat="1" ht="15">
      <c r="A124" s="11">
        <v>30066316</v>
      </c>
      <c r="B124" s="12" t="s">
        <v>127</v>
      </c>
      <c r="C124" s="26">
        <f>10535</f>
        <v>10535</v>
      </c>
      <c r="D124" s="8" t="s">
        <v>9</v>
      </c>
      <c r="E124" s="23"/>
      <c r="F124" s="23"/>
    </row>
    <row r="125" spans="1:6" s="10" customFormat="1" ht="15">
      <c r="A125" s="11">
        <v>30066425</v>
      </c>
      <c r="B125" s="12" t="s">
        <v>128</v>
      </c>
      <c r="C125" s="26">
        <f>72002+207000</f>
        <v>279002</v>
      </c>
      <c r="D125" s="13" t="s">
        <v>13</v>
      </c>
      <c r="E125" s="23">
        <v>40149</v>
      </c>
      <c r="F125" s="23">
        <v>40364</v>
      </c>
    </row>
    <row r="126" spans="1:6" s="10" customFormat="1" ht="15">
      <c r="A126" s="11">
        <v>30066435</v>
      </c>
      <c r="B126" s="12" t="s">
        <v>129</v>
      </c>
      <c r="C126" s="26">
        <f>22858-696</f>
        <v>22162</v>
      </c>
      <c r="D126" s="13" t="s">
        <v>13</v>
      </c>
      <c r="E126" s="23">
        <v>40238</v>
      </c>
      <c r="F126" s="23">
        <v>40391</v>
      </c>
    </row>
    <row r="127" spans="1:6" s="10" customFormat="1" ht="15">
      <c r="A127" s="11">
        <v>30066560</v>
      </c>
      <c r="B127" s="12" t="s">
        <v>130</v>
      </c>
      <c r="C127" s="26">
        <f>2864</f>
        <v>2864</v>
      </c>
      <c r="D127" s="13" t="s">
        <v>13</v>
      </c>
      <c r="E127" s="23">
        <v>40087</v>
      </c>
      <c r="F127" s="23">
        <v>40269</v>
      </c>
    </row>
    <row r="128" spans="1:6" s="10" customFormat="1" ht="15">
      <c r="A128" s="14">
        <v>30066706</v>
      </c>
      <c r="B128" s="15" t="s">
        <v>131</v>
      </c>
      <c r="C128" s="26">
        <f>17750</f>
        <v>17750</v>
      </c>
      <c r="D128" s="13" t="s">
        <v>13</v>
      </c>
      <c r="E128" s="23">
        <v>40087</v>
      </c>
      <c r="F128" s="23">
        <v>40360</v>
      </c>
    </row>
    <row r="129" spans="1:6" s="10" customFormat="1" ht="15">
      <c r="A129" s="11">
        <v>30067468</v>
      </c>
      <c r="B129" s="12" t="s">
        <v>132</v>
      </c>
      <c r="C129" s="26">
        <f>23667</f>
        <v>23667</v>
      </c>
      <c r="D129" s="13" t="s">
        <v>13</v>
      </c>
      <c r="E129" s="23">
        <v>39723</v>
      </c>
      <c r="F129" s="23">
        <v>40268</v>
      </c>
    </row>
    <row r="130" spans="1:6" s="10" customFormat="1" ht="15">
      <c r="A130" s="11">
        <v>30067503</v>
      </c>
      <c r="B130" s="12" t="s">
        <v>133</v>
      </c>
      <c r="C130" s="26">
        <f>7425</f>
        <v>7425</v>
      </c>
      <c r="D130" s="13" t="s">
        <v>13</v>
      </c>
      <c r="E130" s="23">
        <v>39805</v>
      </c>
      <c r="F130" s="23">
        <v>40268</v>
      </c>
    </row>
    <row r="131" spans="1:6" s="10" customFormat="1" ht="15">
      <c r="A131" s="11">
        <v>30067707</v>
      </c>
      <c r="B131" s="12" t="s">
        <v>134</v>
      </c>
      <c r="C131" s="26">
        <f>12815</f>
        <v>12815</v>
      </c>
      <c r="D131" s="13" t="s">
        <v>13</v>
      </c>
      <c r="E131" s="23">
        <v>39896</v>
      </c>
      <c r="F131" s="23">
        <v>40208</v>
      </c>
    </row>
    <row r="132" spans="1:6" s="10" customFormat="1" ht="15">
      <c r="A132" s="16">
        <v>30068032</v>
      </c>
      <c r="B132" s="7" t="s">
        <v>135</v>
      </c>
      <c r="C132" s="26">
        <f>22723</f>
        <v>22723</v>
      </c>
      <c r="D132" s="13" t="s">
        <v>13</v>
      </c>
      <c r="E132" s="23">
        <v>39548</v>
      </c>
      <c r="F132" s="23"/>
    </row>
    <row r="133" spans="1:6" s="10" customFormat="1" ht="15">
      <c r="A133" s="16">
        <v>30068033</v>
      </c>
      <c r="B133" s="7" t="s">
        <v>136</v>
      </c>
      <c r="C133" s="26">
        <f>6385</f>
        <v>6385</v>
      </c>
      <c r="D133" s="13" t="s">
        <v>13</v>
      </c>
      <c r="E133" s="23">
        <v>39548</v>
      </c>
      <c r="F133" s="23"/>
    </row>
    <row r="134" spans="1:6" s="10" customFormat="1" ht="22.5">
      <c r="A134" s="11">
        <v>30068142</v>
      </c>
      <c r="B134" s="12" t="s">
        <v>137</v>
      </c>
      <c r="C134" s="26">
        <f>42134</f>
        <v>42134</v>
      </c>
      <c r="D134" s="13" t="s">
        <v>13</v>
      </c>
      <c r="E134" s="23">
        <v>40238</v>
      </c>
      <c r="F134" s="23">
        <v>40330</v>
      </c>
    </row>
    <row r="135" spans="1:6" s="10" customFormat="1" ht="15">
      <c r="A135" s="14">
        <v>30068614</v>
      </c>
      <c r="B135" s="15" t="s">
        <v>138</v>
      </c>
      <c r="C135" s="26">
        <f>12000</f>
        <v>12000</v>
      </c>
      <c r="D135" s="8" t="s">
        <v>7</v>
      </c>
      <c r="E135" s="23"/>
      <c r="F135" s="23"/>
    </row>
    <row r="136" spans="1:6" s="10" customFormat="1" ht="15">
      <c r="A136" s="11">
        <v>30068669</v>
      </c>
      <c r="B136" s="15" t="s">
        <v>139</v>
      </c>
      <c r="C136" s="26">
        <f>102000</f>
        <v>102000</v>
      </c>
      <c r="D136" s="8" t="s">
        <v>7</v>
      </c>
      <c r="E136" s="23"/>
      <c r="F136" s="23"/>
    </row>
    <row r="137" spans="1:6" s="10" customFormat="1" ht="15">
      <c r="A137" s="11">
        <v>30069655</v>
      </c>
      <c r="B137" s="12" t="s">
        <v>140</v>
      </c>
      <c r="C137" s="26">
        <f>392865</f>
        <v>392865</v>
      </c>
      <c r="D137" s="13" t="s">
        <v>13</v>
      </c>
      <c r="E137" s="23">
        <v>40137</v>
      </c>
      <c r="F137" s="23">
        <v>40437</v>
      </c>
    </row>
    <row r="138" spans="1:6" s="10" customFormat="1" ht="15">
      <c r="A138" s="11">
        <v>30069842</v>
      </c>
      <c r="B138" s="12" t="s">
        <v>141</v>
      </c>
      <c r="C138" s="26">
        <f>11499</f>
        <v>11499</v>
      </c>
      <c r="D138" s="8" t="s">
        <v>7</v>
      </c>
      <c r="E138" s="23"/>
      <c r="F138" s="23"/>
    </row>
    <row r="139" spans="1:6" s="10" customFormat="1" ht="15">
      <c r="A139" s="11">
        <v>30070724</v>
      </c>
      <c r="B139" s="12" t="s">
        <v>142</v>
      </c>
      <c r="C139" s="25">
        <f>10500</f>
        <v>10500</v>
      </c>
      <c r="D139" s="8" t="s">
        <v>9</v>
      </c>
      <c r="E139" s="23"/>
      <c r="F139" s="23"/>
    </row>
    <row r="140" spans="1:6" s="10" customFormat="1" ht="15">
      <c r="A140" s="11">
        <v>30070768</v>
      </c>
      <c r="B140" s="12" t="s">
        <v>143</v>
      </c>
      <c r="C140" s="26">
        <f>102685</f>
        <v>102685</v>
      </c>
      <c r="D140" s="8" t="s">
        <v>9</v>
      </c>
      <c r="E140" s="23"/>
      <c r="F140" s="23"/>
    </row>
    <row r="141" spans="1:6" s="10" customFormat="1" ht="15">
      <c r="A141" s="11">
        <v>30071580</v>
      </c>
      <c r="B141" s="12" t="s">
        <v>144</v>
      </c>
      <c r="C141" s="26">
        <f>17255</f>
        <v>17255</v>
      </c>
      <c r="D141" s="13" t="s">
        <v>13</v>
      </c>
      <c r="E141" s="23">
        <v>40088</v>
      </c>
      <c r="F141" s="23">
        <v>40238</v>
      </c>
    </row>
    <row r="142" spans="1:6" s="10" customFormat="1" ht="15">
      <c r="A142" s="16">
        <v>30071729</v>
      </c>
      <c r="B142" s="7" t="s">
        <v>145</v>
      </c>
      <c r="C142" s="26">
        <f>30000</f>
        <v>30000</v>
      </c>
      <c r="D142" s="8" t="s">
        <v>47</v>
      </c>
      <c r="E142" s="23"/>
      <c r="F142" s="23"/>
    </row>
    <row r="143" spans="1:6" s="10" customFormat="1" ht="15">
      <c r="A143" s="16">
        <v>30071901</v>
      </c>
      <c r="B143" s="7" t="s">
        <v>146</v>
      </c>
      <c r="C143" s="26">
        <f>574354</f>
        <v>574354</v>
      </c>
      <c r="D143" s="13" t="s">
        <v>13</v>
      </c>
      <c r="E143" s="23">
        <v>40176</v>
      </c>
      <c r="F143" s="23">
        <v>40450</v>
      </c>
    </row>
    <row r="144" spans="1:6" s="10" customFormat="1" ht="15">
      <c r="A144" s="16">
        <v>30071978</v>
      </c>
      <c r="B144" s="7" t="s">
        <v>147</v>
      </c>
      <c r="C144" s="26">
        <f>90028</f>
        <v>90028</v>
      </c>
      <c r="D144" s="13" t="s">
        <v>13</v>
      </c>
      <c r="E144" s="23">
        <v>40094</v>
      </c>
      <c r="F144" s="23">
        <v>40274</v>
      </c>
    </row>
    <row r="145" spans="1:6" s="10" customFormat="1" ht="15">
      <c r="A145" s="11">
        <v>30072095</v>
      </c>
      <c r="B145" s="12" t="s">
        <v>148</v>
      </c>
      <c r="C145" s="26">
        <f>16187</f>
        <v>16187</v>
      </c>
      <c r="D145" s="13" t="s">
        <v>13</v>
      </c>
      <c r="E145" s="23">
        <v>40238</v>
      </c>
      <c r="F145" s="23">
        <v>40238</v>
      </c>
    </row>
    <row r="146" spans="1:6" s="10" customFormat="1" ht="15">
      <c r="A146" s="11">
        <v>30072294</v>
      </c>
      <c r="B146" s="12" t="s">
        <v>149</v>
      </c>
      <c r="C146" s="26">
        <f>19657</f>
        <v>19657</v>
      </c>
      <c r="D146" s="13" t="s">
        <v>13</v>
      </c>
      <c r="E146" s="23">
        <v>28081</v>
      </c>
      <c r="F146" s="23">
        <v>39996</v>
      </c>
    </row>
    <row r="147" spans="1:6" s="10" customFormat="1" ht="15">
      <c r="A147" s="16">
        <v>30072355</v>
      </c>
      <c r="B147" s="7" t="s">
        <v>150</v>
      </c>
      <c r="C147" s="26">
        <f>42952</f>
        <v>42952</v>
      </c>
      <c r="D147" s="13" t="s">
        <v>13</v>
      </c>
      <c r="E147" s="23">
        <v>39995</v>
      </c>
      <c r="F147" s="23">
        <v>40303</v>
      </c>
    </row>
    <row r="148" spans="1:6" s="10" customFormat="1" ht="15">
      <c r="A148" s="11">
        <v>30072558</v>
      </c>
      <c r="B148" s="12" t="s">
        <v>151</v>
      </c>
      <c r="C148" s="26">
        <f>125670</f>
        <v>125670</v>
      </c>
      <c r="D148" s="13"/>
      <c r="E148" s="23"/>
      <c r="F148" s="23"/>
    </row>
    <row r="149" spans="1:6" s="10" customFormat="1" ht="15">
      <c r="A149" s="11">
        <v>30072593</v>
      </c>
      <c r="B149" s="12" t="s">
        <v>152</v>
      </c>
      <c r="C149" s="26">
        <f>105001</f>
        <v>105001</v>
      </c>
      <c r="D149" s="8" t="s">
        <v>7</v>
      </c>
      <c r="E149" s="23"/>
      <c r="F149" s="23"/>
    </row>
    <row r="150" spans="1:6" s="10" customFormat="1" ht="22.5">
      <c r="A150" s="16">
        <v>30072597</v>
      </c>
      <c r="B150" s="7" t="s">
        <v>153</v>
      </c>
      <c r="C150" s="26">
        <f>151668</f>
        <v>151668</v>
      </c>
      <c r="D150" s="13" t="s">
        <v>13</v>
      </c>
      <c r="E150" s="23">
        <v>40168</v>
      </c>
      <c r="F150" s="23">
        <v>40318</v>
      </c>
    </row>
    <row r="151" spans="1:6" s="10" customFormat="1" ht="15">
      <c r="A151" s="11">
        <v>30072803</v>
      </c>
      <c r="B151" s="12" t="s">
        <v>154</v>
      </c>
      <c r="C151" s="26">
        <f>7599</f>
        <v>7599</v>
      </c>
      <c r="D151" s="8" t="s">
        <v>9</v>
      </c>
      <c r="E151" s="23"/>
      <c r="F151" s="23"/>
    </row>
    <row r="152" spans="1:6" s="10" customFormat="1" ht="15">
      <c r="A152" s="11">
        <v>30072854</v>
      </c>
      <c r="B152" s="12" t="s">
        <v>155</v>
      </c>
      <c r="C152" s="26">
        <f>14297</f>
        <v>14297</v>
      </c>
      <c r="D152" s="13" t="s">
        <v>13</v>
      </c>
      <c r="E152" s="23">
        <v>40101</v>
      </c>
      <c r="F152" s="23">
        <v>40296</v>
      </c>
    </row>
    <row r="153" spans="1:6" s="10" customFormat="1" ht="15">
      <c r="A153" s="11">
        <v>30072980</v>
      </c>
      <c r="B153" s="12" t="s">
        <v>156</v>
      </c>
      <c r="C153" s="26">
        <f>255000</f>
        <v>255000</v>
      </c>
      <c r="D153" s="13" t="s">
        <v>13</v>
      </c>
      <c r="E153" s="23">
        <v>40142</v>
      </c>
      <c r="F153" s="23">
        <v>40322</v>
      </c>
    </row>
    <row r="154" spans="1:6" s="10" customFormat="1" ht="15">
      <c r="A154" s="11">
        <v>30073007</v>
      </c>
      <c r="B154" s="12" t="s">
        <v>157</v>
      </c>
      <c r="C154" s="26">
        <f>20000</f>
        <v>20000</v>
      </c>
      <c r="D154" s="13" t="s">
        <v>13</v>
      </c>
      <c r="E154" s="23">
        <v>40248</v>
      </c>
      <c r="F154" s="23">
        <v>40318</v>
      </c>
    </row>
    <row r="155" spans="1:6" s="10" customFormat="1" ht="15">
      <c r="A155" s="11">
        <v>30073231</v>
      </c>
      <c r="B155" s="12" t="s">
        <v>158</v>
      </c>
      <c r="C155" s="26">
        <f>1841</f>
        <v>1841</v>
      </c>
      <c r="D155" s="13" t="s">
        <v>13</v>
      </c>
      <c r="E155" s="23">
        <v>39896</v>
      </c>
      <c r="F155" s="23">
        <v>40208</v>
      </c>
    </row>
    <row r="156" spans="1:6" s="10" customFormat="1" ht="15">
      <c r="A156" s="11">
        <v>30073430</v>
      </c>
      <c r="B156" s="12" t="s">
        <v>159</v>
      </c>
      <c r="C156" s="26">
        <f>5999</f>
        <v>5999</v>
      </c>
      <c r="D156" s="13" t="s">
        <v>13</v>
      </c>
      <c r="E156" s="23">
        <v>40178</v>
      </c>
      <c r="F156" s="23">
        <v>40297</v>
      </c>
    </row>
    <row r="157" spans="1:6" s="10" customFormat="1" ht="15">
      <c r="A157" s="11">
        <v>30073608</v>
      </c>
      <c r="B157" s="12" t="s">
        <v>160</v>
      </c>
      <c r="C157" s="26">
        <f>200000</f>
        <v>200000</v>
      </c>
      <c r="D157" s="13" t="s">
        <v>13</v>
      </c>
      <c r="E157" s="23">
        <v>40144</v>
      </c>
      <c r="F157" s="23">
        <v>40384</v>
      </c>
    </row>
    <row r="158" spans="1:6" s="10" customFormat="1" ht="15">
      <c r="A158" s="11">
        <v>30073770</v>
      </c>
      <c r="B158" s="12" t="s">
        <v>161</v>
      </c>
      <c r="C158" s="26">
        <f>10530</f>
        <v>10530</v>
      </c>
      <c r="D158" s="13" t="s">
        <v>13</v>
      </c>
      <c r="E158" s="23">
        <v>40059</v>
      </c>
      <c r="F158" s="23">
        <v>40239</v>
      </c>
    </row>
    <row r="159" spans="1:6" s="10" customFormat="1" ht="15">
      <c r="A159" s="11">
        <v>30073887</v>
      </c>
      <c r="B159" s="12" t="s">
        <v>162</v>
      </c>
      <c r="C159" s="26">
        <f>7749</f>
        <v>7749</v>
      </c>
      <c r="D159" s="8" t="s">
        <v>9</v>
      </c>
      <c r="E159" s="23"/>
      <c r="F159" s="23"/>
    </row>
    <row r="160" spans="1:6" s="10" customFormat="1" ht="22.5">
      <c r="A160" s="11">
        <v>30074166</v>
      </c>
      <c r="B160" s="12" t="s">
        <v>163</v>
      </c>
      <c r="C160" s="26">
        <f>10500</f>
        <v>10500</v>
      </c>
      <c r="D160" s="8" t="s">
        <v>9</v>
      </c>
      <c r="E160" s="23"/>
      <c r="F160" s="23"/>
    </row>
    <row r="161" spans="1:6" s="10" customFormat="1" ht="15">
      <c r="A161" s="16">
        <v>30074428</v>
      </c>
      <c r="B161" s="7" t="s">
        <v>164</v>
      </c>
      <c r="C161" s="26">
        <f>1030600</f>
        <v>1030600</v>
      </c>
      <c r="D161" s="13" t="s">
        <v>13</v>
      </c>
      <c r="E161" s="23">
        <v>40151</v>
      </c>
      <c r="F161" s="23">
        <v>40516</v>
      </c>
    </row>
    <row r="162" spans="1:6" s="10" customFormat="1" ht="15">
      <c r="A162" s="16">
        <v>30074607</v>
      </c>
      <c r="B162" s="7" t="s">
        <v>165</v>
      </c>
      <c r="C162" s="26">
        <f>25879</f>
        <v>25879</v>
      </c>
      <c r="D162" s="13" t="s">
        <v>13</v>
      </c>
      <c r="E162" s="23">
        <v>39995</v>
      </c>
      <c r="F162" s="23">
        <v>40289</v>
      </c>
    </row>
    <row r="163" spans="1:6" s="10" customFormat="1" ht="15">
      <c r="A163" s="11">
        <v>30075290</v>
      </c>
      <c r="B163" s="12" t="s">
        <v>166</v>
      </c>
      <c r="C163" s="26">
        <f>25879</f>
        <v>25879</v>
      </c>
      <c r="D163" s="13" t="s">
        <v>13</v>
      </c>
      <c r="E163" s="23">
        <v>39995</v>
      </c>
      <c r="F163" s="23">
        <v>40289</v>
      </c>
    </row>
    <row r="164" spans="1:6" s="10" customFormat="1" ht="15">
      <c r="A164" s="11">
        <v>30075927</v>
      </c>
      <c r="B164" s="12" t="s">
        <v>167</v>
      </c>
      <c r="C164" s="26">
        <f>1200</f>
        <v>1200</v>
      </c>
      <c r="D164" s="13" t="s">
        <v>13</v>
      </c>
      <c r="E164" s="23"/>
      <c r="F164" s="23"/>
    </row>
    <row r="165" spans="1:6" s="10" customFormat="1" ht="15">
      <c r="A165" s="11">
        <v>30076920</v>
      </c>
      <c r="B165" s="12" t="s">
        <v>168</v>
      </c>
      <c r="C165" s="26">
        <f>10000</f>
        <v>10000</v>
      </c>
      <c r="D165" s="8" t="s">
        <v>7</v>
      </c>
      <c r="E165" s="23"/>
      <c r="F165" s="23"/>
    </row>
    <row r="166" spans="1:6" s="10" customFormat="1" ht="15">
      <c r="A166" s="11">
        <v>30077000</v>
      </c>
      <c r="B166" s="12" t="s">
        <v>169</v>
      </c>
      <c r="C166" s="26">
        <f>10000</f>
        <v>10000</v>
      </c>
      <c r="D166" s="13" t="s">
        <v>13</v>
      </c>
      <c r="E166" s="23">
        <v>40183</v>
      </c>
      <c r="F166" s="23" t="s">
        <v>170</v>
      </c>
    </row>
    <row r="167" spans="1:6" s="10" customFormat="1" ht="15">
      <c r="A167" s="11">
        <v>30077099</v>
      </c>
      <c r="B167" s="12" t="s">
        <v>171</v>
      </c>
      <c r="C167" s="26">
        <f>16080</f>
        <v>16080</v>
      </c>
      <c r="D167" s="13" t="s">
        <v>13</v>
      </c>
      <c r="E167" s="23">
        <v>40101</v>
      </c>
      <c r="F167" s="23">
        <v>40296</v>
      </c>
    </row>
    <row r="168" spans="1:6" s="10" customFormat="1" ht="15">
      <c r="A168" s="11">
        <v>30077365</v>
      </c>
      <c r="B168" s="12" t="s">
        <v>172</v>
      </c>
      <c r="C168" s="26">
        <f>46175</f>
        <v>46175</v>
      </c>
      <c r="D168" s="8" t="s">
        <v>7</v>
      </c>
      <c r="E168" s="23"/>
      <c r="F168" s="23"/>
    </row>
    <row r="169" spans="1:6" s="10" customFormat="1" ht="15">
      <c r="A169" s="16">
        <v>30077580</v>
      </c>
      <c r="B169" s="7" t="s">
        <v>173</v>
      </c>
      <c r="C169" s="26">
        <f>11000</f>
        <v>11000</v>
      </c>
      <c r="D169" s="13" t="s">
        <v>13</v>
      </c>
      <c r="E169" s="23">
        <v>40183</v>
      </c>
      <c r="F169" s="23">
        <v>40408</v>
      </c>
    </row>
    <row r="170" spans="1:6" s="10" customFormat="1" ht="15">
      <c r="A170" s="11">
        <v>30077943</v>
      </c>
      <c r="B170" s="12" t="s">
        <v>174</v>
      </c>
      <c r="C170" s="26">
        <f>104161</f>
        <v>104161</v>
      </c>
      <c r="D170" s="8" t="s">
        <v>9</v>
      </c>
      <c r="E170" s="23"/>
      <c r="F170" s="23"/>
    </row>
    <row r="171" spans="1:6" s="10" customFormat="1" ht="15">
      <c r="A171" s="11">
        <v>30078488</v>
      </c>
      <c r="B171" s="12" t="s">
        <v>175</v>
      </c>
      <c r="C171" s="26">
        <f>10000</f>
        <v>10000</v>
      </c>
      <c r="D171" s="13" t="s">
        <v>13</v>
      </c>
      <c r="E171" s="23">
        <v>40214</v>
      </c>
      <c r="F171" s="23">
        <v>40329</v>
      </c>
    </row>
    <row r="172" spans="1:6" s="10" customFormat="1" ht="15">
      <c r="A172" s="16">
        <v>30078601</v>
      </c>
      <c r="B172" s="7" t="s">
        <v>176</v>
      </c>
      <c r="C172" s="26">
        <f>109502</f>
        <v>109502</v>
      </c>
      <c r="D172" s="8" t="s">
        <v>9</v>
      </c>
      <c r="E172" s="23"/>
      <c r="F172" s="23"/>
    </row>
    <row r="173" spans="1:6" s="10" customFormat="1" ht="15">
      <c r="A173" s="11">
        <v>30078697</v>
      </c>
      <c r="B173" s="12" t="s">
        <v>177</v>
      </c>
      <c r="C173" s="26">
        <f>40000+18109</f>
        <v>58109</v>
      </c>
      <c r="D173" s="13" t="s">
        <v>13</v>
      </c>
      <c r="E173" s="23">
        <v>40058</v>
      </c>
      <c r="F173" s="23">
        <v>40288</v>
      </c>
    </row>
    <row r="174" spans="1:6" s="10" customFormat="1" ht="15">
      <c r="A174" s="16">
        <v>30078775</v>
      </c>
      <c r="B174" s="7" t="s">
        <v>178</v>
      </c>
      <c r="C174" s="26">
        <f>5000</f>
        <v>5000</v>
      </c>
      <c r="D174" s="13" t="s">
        <v>13</v>
      </c>
      <c r="E174" s="23">
        <v>40178</v>
      </c>
      <c r="F174" s="23">
        <v>40297</v>
      </c>
    </row>
    <row r="175" spans="1:6" s="10" customFormat="1" ht="15">
      <c r="A175" s="16">
        <v>30080128</v>
      </c>
      <c r="B175" s="7" t="s">
        <v>179</v>
      </c>
      <c r="C175" s="26">
        <f>102500</f>
        <v>102500</v>
      </c>
      <c r="D175" s="8" t="s">
        <v>7</v>
      </c>
      <c r="E175" s="23"/>
      <c r="F175" s="23"/>
    </row>
    <row r="176" spans="1:6" s="10" customFormat="1" ht="15">
      <c r="A176" s="16">
        <v>30080581</v>
      </c>
      <c r="B176" s="7" t="s">
        <v>180</v>
      </c>
      <c r="C176" s="26">
        <f>10500</f>
        <v>10500</v>
      </c>
      <c r="D176" s="8" t="s">
        <v>7</v>
      </c>
      <c r="E176" s="23"/>
      <c r="F176" s="23"/>
    </row>
    <row r="177" spans="1:6" s="10" customFormat="1" ht="15">
      <c r="A177" s="11">
        <v>30080971</v>
      </c>
      <c r="B177" s="12" t="s">
        <v>181</v>
      </c>
      <c r="C177" s="26">
        <f>18296</f>
        <v>18296</v>
      </c>
      <c r="D177" s="13" t="s">
        <v>13</v>
      </c>
      <c r="E177" s="23">
        <v>40080</v>
      </c>
      <c r="F177" s="23">
        <v>40320</v>
      </c>
    </row>
    <row r="178" spans="1:6" s="10" customFormat="1" ht="15">
      <c r="A178" s="16">
        <v>30080981</v>
      </c>
      <c r="B178" s="7" t="s">
        <v>182</v>
      </c>
      <c r="C178" s="26">
        <f>10500</f>
        <v>10500</v>
      </c>
      <c r="D178" s="13" t="s">
        <v>13</v>
      </c>
      <c r="E178" s="23">
        <v>40183</v>
      </c>
      <c r="F178" s="23">
        <v>40408</v>
      </c>
    </row>
    <row r="179" spans="1:6" s="10" customFormat="1" ht="15">
      <c r="A179" s="14">
        <v>30080992</v>
      </c>
      <c r="B179" s="15" t="s">
        <v>183</v>
      </c>
      <c r="C179" s="26">
        <f>10000</f>
        <v>10000</v>
      </c>
      <c r="D179" s="13" t="s">
        <v>13</v>
      </c>
      <c r="E179" s="23">
        <v>40183</v>
      </c>
      <c r="F179" s="23">
        <v>40408</v>
      </c>
    </row>
    <row r="180" spans="1:6" s="10" customFormat="1" ht="15">
      <c r="A180" s="16">
        <v>30081025</v>
      </c>
      <c r="B180" s="7" t="s">
        <v>184</v>
      </c>
      <c r="C180" s="26">
        <f>107400</f>
        <v>107400</v>
      </c>
      <c r="D180" s="13" t="s">
        <v>13</v>
      </c>
      <c r="E180" s="23">
        <v>40192</v>
      </c>
      <c r="F180" s="23">
        <v>40336</v>
      </c>
    </row>
    <row r="181" spans="1:6" s="10" customFormat="1" ht="15">
      <c r="A181" s="11">
        <v>30081027</v>
      </c>
      <c r="B181" s="12" t="s">
        <v>185</v>
      </c>
      <c r="C181" s="26">
        <f>275018+42991</f>
        <v>318009</v>
      </c>
      <c r="D181" s="13" t="s">
        <v>13</v>
      </c>
      <c r="E181" s="23">
        <v>40133</v>
      </c>
      <c r="F181" s="23">
        <v>40278</v>
      </c>
    </row>
    <row r="182" spans="1:6" s="10" customFormat="1" ht="15">
      <c r="A182" s="14">
        <v>30081032</v>
      </c>
      <c r="B182" s="7" t="s">
        <v>186</v>
      </c>
      <c r="C182" s="26">
        <f>142001</f>
        <v>142001</v>
      </c>
      <c r="D182" s="13" t="s">
        <v>13</v>
      </c>
      <c r="E182" s="23">
        <v>40127</v>
      </c>
      <c r="F182" s="23">
        <v>40277</v>
      </c>
    </row>
    <row r="183" spans="1:6" s="10" customFormat="1" ht="15">
      <c r="A183" s="11">
        <v>30081149</v>
      </c>
      <c r="B183" s="12" t="s">
        <v>187</v>
      </c>
      <c r="C183" s="26">
        <f>37595</f>
        <v>37595</v>
      </c>
      <c r="D183" s="13" t="s">
        <v>13</v>
      </c>
      <c r="E183" s="23">
        <v>40100</v>
      </c>
      <c r="F183" s="23">
        <v>40325</v>
      </c>
    </row>
    <row r="184" spans="1:6" s="10" customFormat="1" ht="15">
      <c r="A184" s="16">
        <v>30081629</v>
      </c>
      <c r="B184" s="7" t="s">
        <v>188</v>
      </c>
      <c r="C184" s="26">
        <f>10500</f>
        <v>10500</v>
      </c>
      <c r="D184" s="8" t="s">
        <v>7</v>
      </c>
      <c r="E184" s="23"/>
      <c r="F184" s="23"/>
    </row>
    <row r="185" spans="1:6" s="10" customFormat="1" ht="15">
      <c r="A185" s="11">
        <v>30081683</v>
      </c>
      <c r="B185" s="12" t="s">
        <v>189</v>
      </c>
      <c r="C185" s="26">
        <f>46300</f>
        <v>46300</v>
      </c>
      <c r="D185" s="8" t="s">
        <v>7</v>
      </c>
      <c r="E185" s="23"/>
      <c r="F185" s="23"/>
    </row>
    <row r="186" spans="1:6" s="10" customFormat="1" ht="15">
      <c r="A186" s="11">
        <v>30081684</v>
      </c>
      <c r="B186" s="12" t="s">
        <v>190</v>
      </c>
      <c r="C186" s="26">
        <f>18078</f>
        <v>18078</v>
      </c>
      <c r="D186" s="13" t="s">
        <v>13</v>
      </c>
      <c r="E186" s="23">
        <v>40137</v>
      </c>
      <c r="F186" s="23">
        <v>40273</v>
      </c>
    </row>
    <row r="187" spans="1:6" s="10" customFormat="1" ht="22.5">
      <c r="A187" s="11">
        <v>30082406</v>
      </c>
      <c r="B187" s="12" t="s">
        <v>191</v>
      </c>
      <c r="C187" s="26">
        <f>202300</f>
        <v>202300</v>
      </c>
      <c r="D187" s="13" t="s">
        <v>13</v>
      </c>
      <c r="E187" s="23">
        <v>40228</v>
      </c>
      <c r="F187" s="23">
        <v>40528</v>
      </c>
    </row>
    <row r="188" spans="1:6" s="10" customFormat="1" ht="15">
      <c r="A188" s="14">
        <v>30082799</v>
      </c>
      <c r="B188" s="15" t="s">
        <v>192</v>
      </c>
      <c r="C188" s="26">
        <f>10500</f>
        <v>10500</v>
      </c>
      <c r="D188" s="8" t="s">
        <v>7</v>
      </c>
      <c r="E188" s="23"/>
      <c r="F188" s="23"/>
    </row>
    <row r="189" spans="1:6" s="10" customFormat="1" ht="15">
      <c r="A189" s="11">
        <v>30084748</v>
      </c>
      <c r="B189" s="12" t="s">
        <v>193</v>
      </c>
      <c r="C189" s="26">
        <f>300000</f>
        <v>300000</v>
      </c>
      <c r="D189" s="8" t="s">
        <v>7</v>
      </c>
      <c r="E189" s="23"/>
      <c r="F189" s="23"/>
    </row>
    <row r="190" spans="1:6" s="10" customFormat="1" ht="15">
      <c r="A190" s="16">
        <v>30084956</v>
      </c>
      <c r="B190" s="7" t="s">
        <v>194</v>
      </c>
      <c r="C190" s="26">
        <f>10535</f>
        <v>10535</v>
      </c>
      <c r="D190" s="8" t="s">
        <v>9</v>
      </c>
      <c r="E190" s="23"/>
      <c r="F190" s="23"/>
    </row>
    <row r="191" spans="1:6" s="10" customFormat="1" ht="15">
      <c r="A191" s="11">
        <v>30085228</v>
      </c>
      <c r="B191" s="12" t="s">
        <v>195</v>
      </c>
      <c r="C191" s="26">
        <f>103120</f>
        <v>103120</v>
      </c>
      <c r="D191" s="8" t="s">
        <v>47</v>
      </c>
      <c r="E191" s="23"/>
      <c r="F191" s="23"/>
    </row>
    <row r="192" spans="1:6" s="10" customFormat="1" ht="15">
      <c r="A192" s="11">
        <v>30085757</v>
      </c>
      <c r="B192" s="12" t="s">
        <v>196</v>
      </c>
      <c r="C192" s="26">
        <f>10000</f>
        <v>10000</v>
      </c>
      <c r="D192" s="13" t="s">
        <v>13</v>
      </c>
      <c r="E192" s="23">
        <v>40183</v>
      </c>
      <c r="F192" s="23">
        <v>40408</v>
      </c>
    </row>
    <row r="193" spans="1:6" s="10" customFormat="1" ht="15">
      <c r="A193" s="16">
        <v>30086187</v>
      </c>
      <c r="B193" s="7" t="s">
        <v>197</v>
      </c>
      <c r="C193" s="26">
        <f>20000</f>
        <v>20000</v>
      </c>
      <c r="D193" s="8" t="s">
        <v>7</v>
      </c>
      <c r="E193" s="23"/>
      <c r="F193" s="23"/>
    </row>
    <row r="194" spans="1:6" s="10" customFormat="1" ht="15">
      <c r="A194" s="11">
        <v>30092630</v>
      </c>
      <c r="B194" s="12" t="s">
        <v>198</v>
      </c>
      <c r="C194" s="26">
        <f>103000</f>
        <v>103000</v>
      </c>
      <c r="D194" s="8" t="s">
        <v>9</v>
      </c>
      <c r="E194" s="23"/>
      <c r="F194" s="23"/>
    </row>
    <row r="195" spans="1:6" s="10" customFormat="1" ht="15">
      <c r="A195" s="11">
        <v>30094221</v>
      </c>
      <c r="B195" s="12" t="s">
        <v>199</v>
      </c>
      <c r="C195" s="26">
        <f>151500</f>
        <v>151500</v>
      </c>
      <c r="D195" s="13" t="s">
        <v>13</v>
      </c>
      <c r="E195" s="23">
        <v>40178</v>
      </c>
      <c r="F195" s="23">
        <v>40388</v>
      </c>
    </row>
    <row r="196" spans="1:6" s="10" customFormat="1" ht="15">
      <c r="A196" s="14">
        <v>30094225</v>
      </c>
      <c r="B196" s="7" t="s">
        <v>200</v>
      </c>
      <c r="C196" s="26">
        <f>151500</f>
        <v>151500</v>
      </c>
      <c r="D196" s="8" t="s">
        <v>7</v>
      </c>
      <c r="E196" s="23"/>
      <c r="F196" s="23"/>
    </row>
    <row r="197" spans="1:6" s="10" customFormat="1" ht="15">
      <c r="A197" s="14">
        <v>30094632</v>
      </c>
      <c r="B197" s="12" t="s">
        <v>201</v>
      </c>
      <c r="C197" s="26">
        <f>10310</f>
        <v>10310</v>
      </c>
      <c r="D197" s="8" t="s">
        <v>7</v>
      </c>
      <c r="E197" s="23"/>
      <c r="F197" s="23"/>
    </row>
    <row r="198" spans="1:6" s="10" customFormat="1" ht="15">
      <c r="A198" s="14">
        <v>30095129</v>
      </c>
      <c r="B198" s="12" t="s">
        <v>202</v>
      </c>
      <c r="C198" s="26">
        <f>19265</f>
        <v>19265</v>
      </c>
      <c r="D198" s="13" t="s">
        <v>13</v>
      </c>
      <c r="E198" s="23">
        <v>40238</v>
      </c>
      <c r="F198" s="23">
        <v>40603</v>
      </c>
    </row>
    <row r="199" spans="1:6" s="10" customFormat="1" ht="15">
      <c r="A199" s="14">
        <v>30095130</v>
      </c>
      <c r="B199" s="12" t="s">
        <v>203</v>
      </c>
      <c r="C199" s="26">
        <f>32388</f>
        <v>32388</v>
      </c>
      <c r="D199" s="13" t="s">
        <v>13</v>
      </c>
      <c r="E199" s="23">
        <v>40238</v>
      </c>
      <c r="F199" s="23">
        <v>40603</v>
      </c>
    </row>
    <row r="200" spans="1:6" s="10" customFormat="1" ht="15">
      <c r="A200" s="14">
        <v>30096168</v>
      </c>
      <c r="B200" s="12" t="s">
        <v>204</v>
      </c>
      <c r="C200" s="26">
        <f>50000</f>
        <v>50000</v>
      </c>
      <c r="D200" s="8" t="s">
        <v>7</v>
      </c>
      <c r="E200" s="23"/>
      <c r="F200" s="23"/>
    </row>
    <row r="201" spans="1:6" s="10" customFormat="1" ht="15">
      <c r="A201" s="14">
        <v>30096944</v>
      </c>
      <c r="B201" s="7" t="s">
        <v>205</v>
      </c>
      <c r="C201" s="26">
        <f aca="true" t="shared" si="0" ref="C201:C207">77500</f>
        <v>77500</v>
      </c>
      <c r="D201" s="8" t="s">
        <v>7</v>
      </c>
      <c r="E201" s="23"/>
      <c r="F201" s="23"/>
    </row>
    <row r="202" spans="1:6" s="10" customFormat="1" ht="15">
      <c r="A202" s="14">
        <v>30096951</v>
      </c>
      <c r="B202" s="7" t="s">
        <v>206</v>
      </c>
      <c r="C202" s="26">
        <f t="shared" si="0"/>
        <v>77500</v>
      </c>
      <c r="D202" s="8" t="s">
        <v>7</v>
      </c>
      <c r="E202" s="23"/>
      <c r="F202" s="23"/>
    </row>
    <row r="203" spans="1:6" s="10" customFormat="1" ht="15">
      <c r="A203" s="14">
        <v>30097051</v>
      </c>
      <c r="B203" s="7" t="s">
        <v>207</v>
      </c>
      <c r="C203" s="26">
        <f t="shared" si="0"/>
        <v>77500</v>
      </c>
      <c r="D203" s="8" t="s">
        <v>7</v>
      </c>
      <c r="E203" s="23"/>
      <c r="F203" s="23"/>
    </row>
    <row r="204" spans="1:6" s="10" customFormat="1" ht="15">
      <c r="A204" s="14">
        <v>30097052</v>
      </c>
      <c r="B204" s="7" t="s">
        <v>208</v>
      </c>
      <c r="C204" s="26">
        <f t="shared" si="0"/>
        <v>77500</v>
      </c>
      <c r="D204" s="8" t="s">
        <v>7</v>
      </c>
      <c r="E204" s="23"/>
      <c r="F204" s="23"/>
    </row>
    <row r="205" spans="1:6" s="10" customFormat="1" ht="22.5">
      <c r="A205" s="14">
        <v>30097257</v>
      </c>
      <c r="B205" s="7" t="s">
        <v>209</v>
      </c>
      <c r="C205" s="26">
        <f t="shared" si="0"/>
        <v>77500</v>
      </c>
      <c r="D205" s="8" t="s">
        <v>7</v>
      </c>
      <c r="E205" s="23"/>
      <c r="F205" s="23"/>
    </row>
    <row r="206" spans="1:6" s="10" customFormat="1" ht="15">
      <c r="A206" s="14">
        <v>30097259</v>
      </c>
      <c r="B206" s="7" t="s">
        <v>210</v>
      </c>
      <c r="C206" s="26">
        <f t="shared" si="0"/>
        <v>77500</v>
      </c>
      <c r="D206" s="8" t="s">
        <v>7</v>
      </c>
      <c r="E206" s="23"/>
      <c r="F206" s="23"/>
    </row>
    <row r="207" spans="1:6" s="10" customFormat="1" ht="15">
      <c r="A207" s="14">
        <v>30097417</v>
      </c>
      <c r="B207" s="7" t="s">
        <v>211</v>
      </c>
      <c r="C207" s="26">
        <f t="shared" si="0"/>
        <v>77500</v>
      </c>
      <c r="D207" s="8" t="s">
        <v>7</v>
      </c>
      <c r="E207" s="23"/>
      <c r="F207" s="23"/>
    </row>
    <row r="208" spans="1:6" s="10" customFormat="1" ht="15">
      <c r="A208" s="50" t="s">
        <v>221</v>
      </c>
      <c r="B208" s="51"/>
      <c r="C208" s="54">
        <f>+SUM(C12:C207)</f>
        <v>17968700</v>
      </c>
      <c r="D208" s="46"/>
      <c r="E208" s="46"/>
      <c r="F208" s="20"/>
    </row>
    <row r="209" spans="1:6" s="10" customFormat="1" ht="15">
      <c r="A209" s="52"/>
      <c r="B209" s="53"/>
      <c r="C209" s="55"/>
      <c r="D209" s="47"/>
      <c r="E209" s="47"/>
      <c r="F209" s="21"/>
    </row>
    <row r="210" spans="1:6" s="10" customFormat="1" ht="15">
      <c r="A210" s="11">
        <v>30037262</v>
      </c>
      <c r="B210" s="12" t="s">
        <v>212</v>
      </c>
      <c r="C210" s="26">
        <f>34851</f>
        <v>34851</v>
      </c>
      <c r="D210" s="13" t="s">
        <v>13</v>
      </c>
      <c r="E210" s="23">
        <v>40176</v>
      </c>
      <c r="F210" s="23">
        <v>40327</v>
      </c>
    </row>
    <row r="211" spans="1:6" s="10" customFormat="1" ht="15">
      <c r="A211" s="22">
        <v>30059631</v>
      </c>
      <c r="B211" s="7" t="s">
        <v>213</v>
      </c>
      <c r="C211" s="26">
        <f>56000</f>
        <v>56000</v>
      </c>
      <c r="D211" s="13" t="s">
        <v>13</v>
      </c>
      <c r="E211" s="23">
        <v>40179</v>
      </c>
      <c r="F211" s="23">
        <v>40543</v>
      </c>
    </row>
    <row r="212" spans="1:6" s="10" customFormat="1" ht="15">
      <c r="A212" s="16">
        <v>30065018</v>
      </c>
      <c r="B212" s="7" t="s">
        <v>214</v>
      </c>
      <c r="C212" s="26">
        <f>89682</f>
        <v>89682</v>
      </c>
      <c r="D212" s="13" t="s">
        <v>13</v>
      </c>
      <c r="E212" s="23"/>
      <c r="F212" s="23"/>
    </row>
    <row r="213" spans="1:6" s="10" customFormat="1" ht="22.5">
      <c r="A213" s="11">
        <v>30068533</v>
      </c>
      <c r="B213" s="12" t="s">
        <v>215</v>
      </c>
      <c r="C213" s="26">
        <f>34263</f>
        <v>34263</v>
      </c>
      <c r="D213" s="13" t="s">
        <v>13</v>
      </c>
      <c r="E213" s="23">
        <v>39899</v>
      </c>
      <c r="F213" s="23">
        <v>40439</v>
      </c>
    </row>
    <row r="214" spans="1:6" s="10" customFormat="1" ht="15">
      <c r="A214" s="11">
        <v>30068534</v>
      </c>
      <c r="B214" s="12" t="s">
        <v>216</v>
      </c>
      <c r="C214" s="26">
        <f>37493</f>
        <v>37493</v>
      </c>
      <c r="D214" s="13" t="s">
        <v>13</v>
      </c>
      <c r="E214" s="23">
        <v>39899</v>
      </c>
      <c r="F214" s="23">
        <v>40439</v>
      </c>
    </row>
    <row r="215" spans="1:6" ht="15">
      <c r="A215" s="28" t="s">
        <v>222</v>
      </c>
      <c r="B215" s="29"/>
      <c r="C215" s="32">
        <f>+SUM(C210:C214)</f>
        <v>252289</v>
      </c>
      <c r="D215" s="62"/>
      <c r="E215" s="63"/>
      <c r="F215" s="64"/>
    </row>
    <row r="216" spans="1:6" ht="15">
      <c r="A216" s="30"/>
      <c r="B216" s="31"/>
      <c r="C216" s="35"/>
      <c r="D216" s="65"/>
      <c r="E216" s="66"/>
      <c r="F216" s="67"/>
    </row>
    <row r="217" spans="1:6" ht="15">
      <c r="A217" s="28" t="s">
        <v>217</v>
      </c>
      <c r="B217" s="29"/>
      <c r="C217" s="32">
        <f>+C215+C208+C10</f>
        <v>18288713</v>
      </c>
      <c r="D217" s="46"/>
      <c r="E217" s="36"/>
      <c r="F217" s="37"/>
    </row>
    <row r="218" spans="1:6" ht="15">
      <c r="A218" s="30"/>
      <c r="B218" s="31"/>
      <c r="C218" s="35"/>
      <c r="D218" s="47"/>
      <c r="E218" s="38"/>
      <c r="F218" s="39"/>
    </row>
    <row r="219" spans="1:6" ht="15">
      <c r="A219" s="28" t="s">
        <v>218</v>
      </c>
      <c r="B219" s="29"/>
      <c r="C219" s="32">
        <f>+C221-C217</f>
        <v>7902786</v>
      </c>
      <c r="D219" s="46"/>
      <c r="E219" s="36"/>
      <c r="F219" s="37"/>
    </row>
    <row r="220" spans="1:6" ht="15">
      <c r="A220" s="30"/>
      <c r="B220" s="31"/>
      <c r="C220" s="35"/>
      <c r="D220" s="47"/>
      <c r="E220" s="38"/>
      <c r="F220" s="39"/>
    </row>
    <row r="221" spans="1:6" ht="15">
      <c r="A221" s="28" t="s">
        <v>224</v>
      </c>
      <c r="B221" s="29"/>
      <c r="C221" s="32">
        <v>26191499</v>
      </c>
      <c r="D221" s="40"/>
      <c r="E221" s="41"/>
      <c r="F221" s="42"/>
    </row>
    <row r="222" spans="1:6" ht="15">
      <c r="A222" s="30"/>
      <c r="B222" s="31"/>
      <c r="C222" s="33"/>
      <c r="D222" s="43"/>
      <c r="E222" s="44"/>
      <c r="F222" s="45"/>
    </row>
    <row r="223" ht="15">
      <c r="C223" s="1"/>
    </row>
    <row r="224" spans="1:5" ht="15">
      <c r="A224" s="34" t="s">
        <v>219</v>
      </c>
      <c r="B224" s="34"/>
      <c r="C224" s="34"/>
      <c r="D224" s="34"/>
      <c r="E224" s="34"/>
    </row>
    <row r="225" ht="15">
      <c r="A225" s="24" t="s">
        <v>220</v>
      </c>
    </row>
  </sheetData>
  <sheetProtection/>
  <mergeCells count="25">
    <mergeCell ref="D219:D220"/>
    <mergeCell ref="D10:F11"/>
    <mergeCell ref="E219:F220"/>
    <mergeCell ref="D215:F216"/>
    <mergeCell ref="C208:C209"/>
    <mergeCell ref="D208:D209"/>
    <mergeCell ref="E208:E209"/>
    <mergeCell ref="A215:B216"/>
    <mergeCell ref="C215:C216"/>
    <mergeCell ref="A2:F2"/>
    <mergeCell ref="A3:F3"/>
    <mergeCell ref="A221:B222"/>
    <mergeCell ref="C221:C222"/>
    <mergeCell ref="A224:E224"/>
    <mergeCell ref="A217:B218"/>
    <mergeCell ref="C217:C218"/>
    <mergeCell ref="A219:B220"/>
    <mergeCell ref="C219:C220"/>
    <mergeCell ref="E217:F218"/>
    <mergeCell ref="D221:F222"/>
    <mergeCell ref="D217:D218"/>
    <mergeCell ref="E6:F6"/>
    <mergeCell ref="A10:B11"/>
    <mergeCell ref="C10:C11"/>
    <mergeCell ref="A208:B209"/>
  </mergeCells>
  <printOptions/>
  <pageMargins left="0.7" right="0.7" top="0.75" bottom="0.75" header="0.3" footer="0.3"/>
  <pageSetup orientation="portrait" paperSize="9"/>
  <ignoredErrors>
    <ignoredError sqref="C7 C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2010-05-06T13:28:24Z</dcterms:created>
  <dcterms:modified xsi:type="dcterms:W3CDTF">2010-05-20T20:21:33Z</dcterms:modified>
  <cp:category/>
  <cp:version/>
  <cp:contentType/>
  <cp:contentStatus/>
</cp:coreProperties>
</file>